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firstSheet="1" activeTab="1"/>
  </bookViews>
  <sheets>
    <sheet name="Лист5" sheetId="1" state="hidden" r:id="rId1"/>
    <sheet name="Меню 4 кв 2022" sheetId="2" r:id="rId2"/>
    <sheet name="завтрак" sheetId="3" r:id="rId3"/>
    <sheet name="обед" sheetId="4" r:id="rId4"/>
    <sheet name="Расчет" sheetId="5" r:id="rId5"/>
    <sheet name="Остатки" sheetId="6" r:id="rId6"/>
  </sheets>
  <definedNames>
    <definedName name="_xlnm.Print_Area" localSheetId="1">'Меню 4 кв 2022'!$B$1:$N$452</definedName>
    <definedName name="_xlnm.Print_Area" localSheetId="5">'Остатки'!$A$1:$G$60</definedName>
    <definedName name="_xlnm.Print_Area" localSheetId="4">'Расчет'!$A$1:$Q$60</definedName>
  </definedNames>
  <calcPr fullCalcOnLoad="1" fullPrecision="0"/>
</workbook>
</file>

<file path=xl/sharedStrings.xml><?xml version="1.0" encoding="utf-8"?>
<sst xmlns="http://schemas.openxmlformats.org/spreadsheetml/2006/main" count="942" uniqueCount="225">
  <si>
    <t>завтрак</t>
  </si>
  <si>
    <t>рис</t>
  </si>
  <si>
    <t>сахар</t>
  </si>
  <si>
    <t>№ п/п</t>
  </si>
  <si>
    <t>масса порции</t>
  </si>
  <si>
    <t>обед</t>
  </si>
  <si>
    <t>лук</t>
  </si>
  <si>
    <t>картофель</t>
  </si>
  <si>
    <t>морковь</t>
  </si>
  <si>
    <t>сметана</t>
  </si>
  <si>
    <t>молоко</t>
  </si>
  <si>
    <t>яйцо</t>
  </si>
  <si>
    <t>брутто</t>
  </si>
  <si>
    <t>Чай с сахаром</t>
  </si>
  <si>
    <t>чай</t>
  </si>
  <si>
    <t>свекла</t>
  </si>
  <si>
    <t>говядина</t>
  </si>
  <si>
    <t>капуста</t>
  </si>
  <si>
    <t>томат-паста</t>
  </si>
  <si>
    <t>хлеб</t>
  </si>
  <si>
    <t>сухофрукты</t>
  </si>
  <si>
    <t>горох</t>
  </si>
  <si>
    <t>макароны</t>
  </si>
  <si>
    <t>сыр</t>
  </si>
  <si>
    <t xml:space="preserve">лук </t>
  </si>
  <si>
    <t>Компот из сухофруктов</t>
  </si>
  <si>
    <t>масло раст</t>
  </si>
  <si>
    <t>масло слив</t>
  </si>
  <si>
    <t>продукты</t>
  </si>
  <si>
    <t>цена</t>
  </si>
  <si>
    <t>сумма</t>
  </si>
  <si>
    <t>г</t>
  </si>
  <si>
    <t>за кг</t>
  </si>
  <si>
    <t>рубли</t>
  </si>
  <si>
    <t>Хлеб пшеничный</t>
  </si>
  <si>
    <t xml:space="preserve"> </t>
  </si>
  <si>
    <t>I неделя вторник</t>
  </si>
  <si>
    <t>I неделя среда</t>
  </si>
  <si>
    <t>II неделя понедельник</t>
  </si>
  <si>
    <t>II неделя вторник</t>
  </si>
  <si>
    <t>II неделя среда</t>
  </si>
  <si>
    <t>II неделя четверг</t>
  </si>
  <si>
    <t>II неделя пятница</t>
  </si>
  <si>
    <t>Изюм</t>
  </si>
  <si>
    <t>кг</t>
  </si>
  <si>
    <t>л</t>
  </si>
  <si>
    <t>Масло сливочное (72,5%)</t>
  </si>
  <si>
    <t>Сыр твердый (45%)</t>
  </si>
  <si>
    <t>шт</t>
  </si>
  <si>
    <t>чай сухой</t>
  </si>
  <si>
    <t>Итого</t>
  </si>
  <si>
    <t>Наименование</t>
  </si>
  <si>
    <t>Цена</t>
  </si>
  <si>
    <t>Сумма</t>
  </si>
  <si>
    <t>Всего обед</t>
  </si>
  <si>
    <t>всего завтрак</t>
  </si>
  <si>
    <t>нетто</t>
  </si>
  <si>
    <t>Ед. изм.</t>
  </si>
  <si>
    <t>Всего завтрак</t>
  </si>
  <si>
    <t>Кол-во детей</t>
  </si>
  <si>
    <t>Всего</t>
  </si>
  <si>
    <t>Заказать</t>
  </si>
  <si>
    <t>Итого:</t>
  </si>
  <si>
    <t>I неделя понедельник</t>
  </si>
  <si>
    <t>Составил ведущий технолог МКУ "Управление бухгалтерского учета городского округа</t>
  </si>
  <si>
    <t>Масло сливочное</t>
  </si>
  <si>
    <t>Остатки</t>
  </si>
  <si>
    <t xml:space="preserve">I неделя пятница </t>
  </si>
  <si>
    <t>I неделя четверг</t>
  </si>
  <si>
    <t>Белки</t>
  </si>
  <si>
    <t>Жиры</t>
  </si>
  <si>
    <t>Углеводы</t>
  </si>
  <si>
    <t>Ккал</t>
  </si>
  <si>
    <t>мука пшеничная</t>
  </si>
  <si>
    <t>Суп картофельный с</t>
  </si>
  <si>
    <t>курица</t>
  </si>
  <si>
    <t>вермишель</t>
  </si>
  <si>
    <t>минтай</t>
  </si>
  <si>
    <t>Кофейный напиток</t>
  </si>
  <si>
    <t>По меню</t>
  </si>
  <si>
    <t>Сыр твердый</t>
  </si>
  <si>
    <t>Соль йодированная</t>
  </si>
  <si>
    <t>Свекольник со сметаной</t>
  </si>
  <si>
    <t>Плов из курицы</t>
  </si>
  <si>
    <t>НАИМЕНОВАНИЕ ПРОДУКТОВ</t>
  </si>
  <si>
    <t>Масло растительное, рафинированное</t>
  </si>
  <si>
    <t>Кисель фруктовый (концентрат)</t>
  </si>
  <si>
    <t>Кол-во</t>
  </si>
  <si>
    <t>Лук репчатый (1 сорт)</t>
  </si>
  <si>
    <t>Какао порошок</t>
  </si>
  <si>
    <t>Пюре картофельное</t>
  </si>
  <si>
    <t>творог</t>
  </si>
  <si>
    <t>Лавровый лист</t>
  </si>
  <si>
    <t>лавровый лист</t>
  </si>
  <si>
    <t xml:space="preserve">Борщ из свежей капусты со </t>
  </si>
  <si>
    <t>сметаной</t>
  </si>
  <si>
    <t>Кисель из концентрата</t>
  </si>
  <si>
    <t>Суп картофельный с гречкой</t>
  </si>
  <si>
    <t>гречка</t>
  </si>
  <si>
    <t>кисель</t>
  </si>
  <si>
    <t>Зав.столовой, повар  ____________________________________</t>
  </si>
  <si>
    <t>молоко сгущенное</t>
  </si>
  <si>
    <t>огурцы соленые</t>
  </si>
  <si>
    <t>витамин С</t>
  </si>
  <si>
    <t>Мясо птицы (1 категории)</t>
  </si>
  <si>
    <t>Яйцо (1 сорт)</t>
  </si>
  <si>
    <t>Сосиски говяжьи (высший сорт)</t>
  </si>
  <si>
    <t>Колбасы вареные для детского питания в/с</t>
  </si>
  <si>
    <t>Молоко пастеризованное (2,5%)</t>
  </si>
  <si>
    <t>Творог (5%)</t>
  </si>
  <si>
    <t>Капуста белокачанная (1 сорт)</t>
  </si>
  <si>
    <t>Морковь (1 сорт)</t>
  </si>
  <si>
    <t>Свекла (1 сорт)</t>
  </si>
  <si>
    <t>Огурцы консервированные без уксуса (1с)</t>
  </si>
  <si>
    <t>Горошек зеленый (сорт салатный)</t>
  </si>
  <si>
    <t>Томатная паста с содержанием с/в (25-30%)</t>
  </si>
  <si>
    <t>Яблоки свежие (1 сорт)</t>
  </si>
  <si>
    <t>Бананы свежие (1 сорт)</t>
  </si>
  <si>
    <t>Сухофрукты ассорти</t>
  </si>
  <si>
    <t>Повидло фруктовое (1 сорт)</t>
  </si>
  <si>
    <t>Сок фруктовый (1 литр)</t>
  </si>
  <si>
    <t>Рыба с/м (1 сорт)</t>
  </si>
  <si>
    <t>Дрожжи сухие</t>
  </si>
  <si>
    <t>Кофейный напиток (ячменный)</t>
  </si>
  <si>
    <t>Чай черный (1 сорт)</t>
  </si>
  <si>
    <t>Завтрак</t>
  </si>
  <si>
    <t xml:space="preserve"> Обед</t>
  </si>
  <si>
    <t>Всего обеды</t>
  </si>
  <si>
    <t>соль йод.</t>
  </si>
  <si>
    <t>Гуляш из говядины</t>
  </si>
  <si>
    <t>Суп картофельный с рисом</t>
  </si>
  <si>
    <t>Рассольник "Ленинградский"</t>
  </si>
  <si>
    <t>крупа перловая</t>
  </si>
  <si>
    <t>крупа гречневая</t>
  </si>
  <si>
    <t>Каша гречневая гарнир</t>
  </si>
  <si>
    <t>кофе</t>
  </si>
  <si>
    <t>Компот  из сухофруктов</t>
  </si>
  <si>
    <t>Чай с молоком</t>
  </si>
  <si>
    <t>Птица тушеная с соусом</t>
  </si>
  <si>
    <t>куры</t>
  </si>
  <si>
    <t>80/50</t>
  </si>
  <si>
    <t>Какао с молоком</t>
  </si>
  <si>
    <t>какао</t>
  </si>
  <si>
    <t>Фрукты свежие (яблоко)</t>
  </si>
  <si>
    <t>яблоко</t>
  </si>
  <si>
    <t>Фрукты свежие (банан)</t>
  </si>
  <si>
    <t>банан</t>
  </si>
  <si>
    <t xml:space="preserve">Хлеб пшеничный </t>
  </si>
  <si>
    <t>соус</t>
  </si>
  <si>
    <t>Пудинг из творога с яблоками</t>
  </si>
  <si>
    <t>со сгущенным молоком</t>
  </si>
  <si>
    <t>яблоки свежие</t>
  </si>
  <si>
    <t>хлеб зам.сух.</t>
  </si>
  <si>
    <t xml:space="preserve"> Хлеб пшеничный</t>
  </si>
  <si>
    <t>завтрак 1 смена</t>
  </si>
  <si>
    <t>обед 2 смена</t>
  </si>
  <si>
    <t>печенье</t>
  </si>
  <si>
    <t xml:space="preserve">                                       </t>
  </si>
  <si>
    <t>Каша пшенная гарнир</t>
  </si>
  <si>
    <t>пшено</t>
  </si>
  <si>
    <t xml:space="preserve">чай </t>
  </si>
  <si>
    <t>№ рецептуры</t>
  </si>
  <si>
    <t>Рагу из курицы</t>
  </si>
  <si>
    <t>Огурцы соленые в нарезке</t>
  </si>
  <si>
    <t>250/15</t>
  </si>
  <si>
    <t>Шницель из говядины</t>
  </si>
  <si>
    <t>хлеб зам.сух</t>
  </si>
  <si>
    <t>Суп картофельный с горохом</t>
  </si>
  <si>
    <t>Рыба запеченная с соусом</t>
  </si>
  <si>
    <t>Азу с картофелем</t>
  </si>
  <si>
    <t>150/20</t>
  </si>
  <si>
    <t>Макароны отварные</t>
  </si>
  <si>
    <t>Рыба тушенная с овощами</t>
  </si>
  <si>
    <t>Котлета  из говядины с соусом</t>
  </si>
  <si>
    <t>ед. изм.</t>
  </si>
  <si>
    <t>200/10</t>
  </si>
  <si>
    <t>Жаркое по-домашнему</t>
  </si>
  <si>
    <t>Сметана (15%)</t>
  </si>
  <si>
    <t>Молоко сгущенное цельное с сахаром (8,5%)</t>
  </si>
  <si>
    <t>Картофель (1 сорт)</t>
  </si>
  <si>
    <t>Икра кабачковая для дет. питания</t>
  </si>
  <si>
    <t>Печенье в ассортименте</t>
  </si>
  <si>
    <t xml:space="preserve">Пряник </t>
  </si>
  <si>
    <t>4 квартал начальная школа 2022 г</t>
  </si>
  <si>
    <t>вермишелью</t>
  </si>
  <si>
    <t>сыр твердый</t>
  </si>
  <si>
    <t>Икра кабачковая</t>
  </si>
  <si>
    <t>икра кабачковая</t>
  </si>
  <si>
    <t>Каша манная молочная</t>
  </si>
  <si>
    <t>крупа манная</t>
  </si>
  <si>
    <t>Булочка "Домашняя"</t>
  </si>
  <si>
    <t>дрожжи</t>
  </si>
  <si>
    <t>Сыр голландский</t>
  </si>
  <si>
    <t>Каша пшеничная гарнир</t>
  </si>
  <si>
    <t>крупа пшеничная</t>
  </si>
  <si>
    <t>Яйцо отварное</t>
  </si>
  <si>
    <t>Сосиска в тесте</t>
  </si>
  <si>
    <t xml:space="preserve">сахар </t>
  </si>
  <si>
    <t>дрожжи сухие</t>
  </si>
  <si>
    <t>соль йод</t>
  </si>
  <si>
    <t>сосиска</t>
  </si>
  <si>
    <t>Омлет натуральный с сыром</t>
  </si>
  <si>
    <t>итого за завтрак:</t>
  </si>
  <si>
    <t>итого за обед:</t>
  </si>
  <si>
    <t>итого за день:</t>
  </si>
  <si>
    <t>Калинина А.Е.</t>
  </si>
  <si>
    <t>Прохладный КБР"</t>
  </si>
  <si>
    <t>Мука пшеничная (высший сорт), в инд. уп.</t>
  </si>
  <si>
    <t>Крупа гречневая, в инд. уп.</t>
  </si>
  <si>
    <t>Крупа манная (1 сорт), в инд. уп.</t>
  </si>
  <si>
    <t>Рис (1 сорт), в инд. уп.</t>
  </si>
  <si>
    <t>Крупа пшеничная (1 сорт), в инд. уп.</t>
  </si>
  <si>
    <t>Пшено (1 сорт), в инд. уп.</t>
  </si>
  <si>
    <t>Горох шлифованный, в инд. уп.</t>
  </si>
  <si>
    <t>Крупа перловая, в инд. уп.</t>
  </si>
  <si>
    <t>Крупа ячневая, в инд. уп.</t>
  </si>
  <si>
    <t>Хлопья "Геркулес", в инд. уп.</t>
  </si>
  <si>
    <t>Сахар-песок, в инд. уп.</t>
  </si>
  <si>
    <t>Макароны (высший сорт), в инд. уп.</t>
  </si>
  <si>
    <t>Вермишель (высший сорт), в инд. уп.</t>
  </si>
  <si>
    <t>Хлеб "Городской новый"</t>
  </si>
  <si>
    <t>Мясо говядины (1 категории), без кости</t>
  </si>
  <si>
    <t>Таблица расчета необходимого количества продуктов питания для МБОУ СОШ № 5 на 4 кв. 2022 г. (республика)</t>
  </si>
  <si>
    <t>Примерные остатки продуктов на 4 квартал 2022 г СОШ № 5</t>
  </si>
  <si>
    <t>республика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</si>
</sst>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0&quot;р.&quot;"/>
    <numFmt numFmtId="177" formatCode="0.0000"/>
    <numFmt numFmtId="178" formatCode="0.0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\ _₽"/>
  </numFmts>
  <fonts count="50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00"/>
      <name val="Arial Cyr"/>
      <family val="0"/>
    </font>
    <font>
      <sz val="10"/>
      <color rgb="FFFF0000"/>
      <name val="Arial Cyr"/>
      <family val="0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2" fontId="6" fillId="0" borderId="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10" xfId="52" applyFont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 wrapText="1"/>
    </xf>
    <xf numFmtId="2" fontId="4" fillId="0" borderId="10" xfId="0" applyNumberFormat="1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>
      <alignment wrapText="1"/>
    </xf>
    <xf numFmtId="2" fontId="7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2" fontId="8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/>
    </xf>
    <xf numFmtId="0" fontId="47" fillId="0" borderId="0" xfId="0" applyFont="1" applyAlignment="1">
      <alignment wrapText="1"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left" wrapText="1"/>
    </xf>
    <xf numFmtId="2" fontId="4" fillId="33" borderId="1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wrapText="1"/>
    </xf>
    <xf numFmtId="0" fontId="3" fillId="33" borderId="0" xfId="0" applyFont="1" applyFill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/>
    </xf>
    <xf numFmtId="0" fontId="0" fillId="0" borderId="10" xfId="0" applyNumberFormat="1" applyFill="1" applyBorder="1" applyAlignment="1">
      <alignment wrapText="1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48" fillId="0" borderId="0" xfId="0" applyFont="1" applyAlignment="1">
      <alignment/>
    </xf>
    <xf numFmtId="2" fontId="8" fillId="35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2" fontId="8" fillId="0" borderId="10" xfId="0" applyNumberFormat="1" applyFont="1" applyFill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2" fontId="7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9" fontId="3" fillId="0" borderId="0" xfId="57" applyFont="1" applyAlignment="1">
      <alignment/>
    </xf>
    <xf numFmtId="9" fontId="4" fillId="0" borderId="10" xfId="57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2" fontId="9" fillId="35" borderId="10" xfId="0" applyNumberFormat="1" applyFont="1" applyFill="1" applyBorder="1" applyAlignment="1">
      <alignment/>
    </xf>
    <xf numFmtId="1" fontId="9" fillId="34" borderId="10" xfId="0" applyNumberFormat="1" applyFont="1" applyFill="1" applyBorder="1" applyAlignment="1">
      <alignment/>
    </xf>
    <xf numFmtId="2" fontId="9" fillId="36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10" xfId="0" applyNumberFormat="1" applyBorder="1" applyAlignment="1">
      <alignment horizontal="center" vertical="center" wrapText="1"/>
    </xf>
    <xf numFmtId="0" fontId="8" fillId="0" borderId="10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0" fillId="0" borderId="10" xfId="0" applyNumberForma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/>
    </xf>
    <xf numFmtId="2" fontId="49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NumberFormat="1" applyFont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2" fontId="2" fillId="0" borderId="15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0" fillId="0" borderId="11" xfId="0" applyFont="1" applyBorder="1" applyAlignment="1">
      <alignment horizontal="right"/>
    </xf>
    <xf numFmtId="2" fontId="10" fillId="35" borderId="14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4" xfId="0" applyNumberFormat="1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2" fontId="10" fillId="35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2" fontId="2" fillId="33" borderId="0" xfId="0" applyNumberFormat="1" applyFont="1" applyFill="1" applyAlignment="1">
      <alignment/>
    </xf>
    <xf numFmtId="0" fontId="49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 wrapText="1"/>
    </xf>
    <xf numFmtId="0" fontId="0" fillId="0" borderId="10" xfId="0" applyNumberFormat="1" applyFill="1" applyBorder="1" applyAlignment="1">
      <alignment horizontal="center" wrapText="1"/>
    </xf>
    <xf numFmtId="0" fontId="0" fillId="33" borderId="10" xfId="0" applyNumberFormat="1" applyFill="1" applyBorder="1" applyAlignment="1">
      <alignment horizontal="center" wrapText="1"/>
    </xf>
    <xf numFmtId="0" fontId="8" fillId="0" borderId="0" xfId="0" applyNumberFormat="1" applyFont="1" applyFill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33" borderId="0" xfId="0" applyNumberFormat="1" applyFont="1" applyFill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84" fontId="8" fillId="35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4" fillId="34" borderId="10" xfId="0" applyNumberFormat="1" applyFont="1" applyFill="1" applyBorder="1" applyAlignment="1">
      <alignment vertical="center"/>
    </xf>
    <xf numFmtId="1" fontId="9" fillId="36" borderId="1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74" fontId="9" fillId="34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10" fillId="11" borderId="0" xfId="0" applyFont="1" applyFill="1" applyAlignment="1">
      <alignment horizontal="center"/>
    </xf>
    <xf numFmtId="2" fontId="9" fillId="33" borderId="11" xfId="0" applyNumberFormat="1" applyFont="1" applyFill="1" applyBorder="1" applyAlignment="1">
      <alignment horizontal="right" wrapText="1"/>
    </xf>
    <xf numFmtId="2" fontId="9" fillId="33" borderId="19" xfId="0" applyNumberFormat="1" applyFont="1" applyFill="1" applyBorder="1" applyAlignment="1">
      <alignment horizontal="right" wrapText="1"/>
    </xf>
    <xf numFmtId="2" fontId="9" fillId="33" borderId="15" xfId="0" applyNumberFormat="1" applyFont="1" applyFill="1" applyBorder="1" applyAlignment="1">
      <alignment horizontal="right" wrapText="1"/>
    </xf>
    <xf numFmtId="0" fontId="9" fillId="33" borderId="0" xfId="0" applyFont="1" applyFill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6" sqref="E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V453"/>
  <sheetViews>
    <sheetView tabSelected="1" view="pageBreakPreview" zoomScale="60" zoomScaleNormal="90" workbookViewId="0" topLeftCell="A370">
      <selection activeCell="R397" sqref="R397"/>
    </sheetView>
  </sheetViews>
  <sheetFormatPr defaultColWidth="9.125" defaultRowHeight="12.75"/>
  <cols>
    <col min="1" max="1" width="1.625" style="1" customWidth="1"/>
    <col min="2" max="2" width="5.50390625" style="124" customWidth="1"/>
    <col min="3" max="3" width="37.125" style="124" customWidth="1"/>
    <col min="4" max="4" width="8.375" style="124" customWidth="1"/>
    <col min="5" max="5" width="19.625" style="124" customWidth="1"/>
    <col min="6" max="7" width="10.50390625" style="124" customWidth="1"/>
    <col min="8" max="8" width="10.625" style="124" customWidth="1"/>
    <col min="9" max="9" width="12.125" style="124" customWidth="1"/>
    <col min="10" max="10" width="11.50390625" style="124" customWidth="1"/>
    <col min="11" max="11" width="10.375" style="124" customWidth="1"/>
    <col min="12" max="12" width="11.50390625" style="124" customWidth="1"/>
    <col min="13" max="13" width="11.375" style="128" customWidth="1"/>
    <col min="14" max="14" width="12.625" style="129" customWidth="1"/>
    <col min="15" max="15" width="11.00390625" style="104" customWidth="1"/>
    <col min="16" max="16" width="41.875" style="1" customWidth="1"/>
    <col min="17" max="17" width="5.375" style="1" customWidth="1"/>
    <col min="18" max="18" width="10.50390625" style="1" customWidth="1"/>
    <col min="19" max="19" width="9.125" style="1" customWidth="1"/>
    <col min="20" max="20" width="13.375" style="1" customWidth="1"/>
    <col min="21" max="16384" width="9.125" style="1" customWidth="1"/>
  </cols>
  <sheetData>
    <row r="1" spans="3:6" ht="13.5">
      <c r="C1" s="125"/>
      <c r="D1" s="126"/>
      <c r="E1" s="126"/>
      <c r="F1" s="127"/>
    </row>
    <row r="2" spans="3:7" ht="13.5">
      <c r="C2" s="130"/>
      <c r="D2" s="271" t="s">
        <v>183</v>
      </c>
      <c r="E2" s="256"/>
      <c r="F2" s="256"/>
      <c r="G2" s="256"/>
    </row>
    <row r="3" spans="2:14" ht="13.5">
      <c r="B3" s="131"/>
      <c r="C3" s="132" t="s">
        <v>63</v>
      </c>
      <c r="D3" s="131"/>
      <c r="E3" s="131"/>
      <c r="F3" s="131"/>
      <c r="G3" s="131"/>
      <c r="H3" s="131"/>
      <c r="I3" s="131"/>
      <c r="J3" s="131"/>
      <c r="K3" s="131"/>
      <c r="L3" s="131"/>
      <c r="M3" s="133"/>
      <c r="N3" s="134"/>
    </row>
    <row r="4" spans="2:14" ht="27">
      <c r="B4" s="265" t="s">
        <v>3</v>
      </c>
      <c r="C4" s="112"/>
      <c r="D4" s="112" t="s">
        <v>4</v>
      </c>
      <c r="E4" s="265" t="s">
        <v>28</v>
      </c>
      <c r="F4" s="135" t="s">
        <v>12</v>
      </c>
      <c r="G4" s="135" t="s">
        <v>56</v>
      </c>
      <c r="H4" s="135" t="s">
        <v>29</v>
      </c>
      <c r="I4" s="135" t="s">
        <v>30</v>
      </c>
      <c r="J4" s="262" t="s">
        <v>69</v>
      </c>
      <c r="K4" s="262" t="s">
        <v>70</v>
      </c>
      <c r="L4" s="262" t="s">
        <v>71</v>
      </c>
      <c r="M4" s="257" t="s">
        <v>72</v>
      </c>
      <c r="N4" s="259" t="s">
        <v>161</v>
      </c>
    </row>
    <row r="5" spans="2:18" ht="13.5">
      <c r="B5" s="266"/>
      <c r="C5" s="138" t="s">
        <v>154</v>
      </c>
      <c r="D5" s="119" t="s">
        <v>31</v>
      </c>
      <c r="E5" s="260"/>
      <c r="F5" s="119" t="s">
        <v>31</v>
      </c>
      <c r="G5" s="119" t="s">
        <v>31</v>
      </c>
      <c r="H5" s="119" t="s">
        <v>32</v>
      </c>
      <c r="I5" s="119" t="s">
        <v>33</v>
      </c>
      <c r="J5" s="267"/>
      <c r="K5" s="267"/>
      <c r="L5" s="267"/>
      <c r="M5" s="258"/>
      <c r="N5" s="260"/>
      <c r="P5" s="29" t="s">
        <v>105</v>
      </c>
      <c r="Q5" s="2" t="s">
        <v>48</v>
      </c>
      <c r="R5" s="23">
        <v>9.5</v>
      </c>
    </row>
    <row r="6" spans="2:18" ht="13.5">
      <c r="B6" s="119">
        <v>1</v>
      </c>
      <c r="C6" s="139" t="s">
        <v>201</v>
      </c>
      <c r="D6" s="119">
        <v>110</v>
      </c>
      <c r="E6" s="119" t="s">
        <v>11</v>
      </c>
      <c r="F6" s="119">
        <v>2</v>
      </c>
      <c r="G6" s="119">
        <v>80</v>
      </c>
      <c r="H6" s="140">
        <f>R5</f>
        <v>9.5</v>
      </c>
      <c r="I6" s="109">
        <f>F6*H6</f>
        <v>19</v>
      </c>
      <c r="J6" s="109"/>
      <c r="K6" s="109"/>
      <c r="L6" s="109"/>
      <c r="M6" s="116"/>
      <c r="N6" s="141"/>
      <c r="O6" s="89"/>
      <c r="P6" s="69" t="s">
        <v>221</v>
      </c>
      <c r="Q6" s="31" t="s">
        <v>44</v>
      </c>
      <c r="R6" s="31">
        <v>603</v>
      </c>
    </row>
    <row r="7" spans="2:18" ht="15" customHeight="1">
      <c r="B7" s="119"/>
      <c r="C7" s="142"/>
      <c r="D7" s="119"/>
      <c r="E7" s="119" t="s">
        <v>10</v>
      </c>
      <c r="F7" s="119">
        <v>25</v>
      </c>
      <c r="G7" s="119">
        <v>25</v>
      </c>
      <c r="H7" s="143">
        <f>R10</f>
        <v>68</v>
      </c>
      <c r="I7" s="109">
        <f aca="true" t="shared" si="0" ref="I7:I18">F7*H7/1000</f>
        <v>1.7</v>
      </c>
      <c r="J7" s="109"/>
      <c r="K7" s="109"/>
      <c r="L7" s="109"/>
      <c r="M7" s="116"/>
      <c r="N7" s="141"/>
      <c r="O7" s="89"/>
      <c r="P7" s="30" t="s">
        <v>104</v>
      </c>
      <c r="Q7" s="2" t="s">
        <v>44</v>
      </c>
      <c r="R7" s="2">
        <v>258</v>
      </c>
    </row>
    <row r="8" spans="2:18" ht="15" customHeight="1">
      <c r="B8" s="119"/>
      <c r="C8" s="144"/>
      <c r="D8" s="145"/>
      <c r="E8" s="119" t="s">
        <v>185</v>
      </c>
      <c r="F8" s="119">
        <v>14.5</v>
      </c>
      <c r="G8" s="119">
        <v>14.5</v>
      </c>
      <c r="H8" s="146">
        <f>R14</f>
        <v>505</v>
      </c>
      <c r="I8" s="109">
        <f t="shared" si="0"/>
        <v>7.32</v>
      </c>
      <c r="J8" s="147"/>
      <c r="K8" s="147"/>
      <c r="L8" s="147"/>
      <c r="M8" s="116"/>
      <c r="N8" s="148"/>
      <c r="O8" s="89"/>
      <c r="P8" s="30" t="s">
        <v>106</v>
      </c>
      <c r="Q8" s="2" t="s">
        <v>44</v>
      </c>
      <c r="R8" s="2">
        <v>284</v>
      </c>
    </row>
    <row r="9" spans="2:18" ht="15" customHeight="1">
      <c r="B9" s="119"/>
      <c r="C9" s="4"/>
      <c r="D9" s="5"/>
      <c r="E9" s="5" t="s">
        <v>27</v>
      </c>
      <c r="F9" s="149">
        <v>10</v>
      </c>
      <c r="G9" s="149">
        <v>10</v>
      </c>
      <c r="H9" s="146">
        <f>R11</f>
        <v>481</v>
      </c>
      <c r="I9" s="109">
        <f t="shared" si="0"/>
        <v>4.81</v>
      </c>
      <c r="J9" s="224">
        <v>11.76</v>
      </c>
      <c r="K9" s="224">
        <v>21.78</v>
      </c>
      <c r="L9" s="224">
        <v>1.82</v>
      </c>
      <c r="M9" s="224">
        <f>(J9+L9)*4+K9*9</f>
        <v>250.34</v>
      </c>
      <c r="N9" s="148">
        <v>288</v>
      </c>
      <c r="O9" s="89">
        <f>(J9+L9)*4+K9*9</f>
        <v>250.34</v>
      </c>
      <c r="P9" s="29" t="s">
        <v>107</v>
      </c>
      <c r="Q9" s="2" t="s">
        <v>44</v>
      </c>
      <c r="R9" s="2">
        <v>301</v>
      </c>
    </row>
    <row r="10" spans="2:18" ht="15" customHeight="1">
      <c r="B10" s="119">
        <v>2</v>
      </c>
      <c r="C10" s="4" t="s">
        <v>186</v>
      </c>
      <c r="D10" s="5">
        <v>25</v>
      </c>
      <c r="E10" s="5" t="s">
        <v>187</v>
      </c>
      <c r="F10" s="149">
        <v>25</v>
      </c>
      <c r="G10" s="149">
        <v>25</v>
      </c>
      <c r="H10" s="146">
        <f>R23</f>
        <v>111</v>
      </c>
      <c r="I10" s="109">
        <f t="shared" si="0"/>
        <v>2.78</v>
      </c>
      <c r="J10" s="109">
        <v>0.43</v>
      </c>
      <c r="K10" s="109">
        <v>2.2</v>
      </c>
      <c r="L10" s="109">
        <v>1.94</v>
      </c>
      <c r="M10" s="109">
        <v>29.28</v>
      </c>
      <c r="N10" s="148"/>
      <c r="O10" s="89">
        <f>(J10+L10)*4+K10*9</f>
        <v>29.28</v>
      </c>
      <c r="P10" s="30" t="s">
        <v>108</v>
      </c>
      <c r="Q10" s="2" t="s">
        <v>45</v>
      </c>
      <c r="R10" s="2">
        <v>68</v>
      </c>
    </row>
    <row r="11" spans="2:18" ht="15" customHeight="1">
      <c r="B11" s="119">
        <v>3</v>
      </c>
      <c r="C11" s="4" t="s">
        <v>34</v>
      </c>
      <c r="D11" s="5">
        <v>50</v>
      </c>
      <c r="E11" s="5" t="s">
        <v>19</v>
      </c>
      <c r="F11" s="149">
        <v>50</v>
      </c>
      <c r="G11" s="149">
        <v>50</v>
      </c>
      <c r="H11" s="150">
        <f>R60</f>
        <v>48</v>
      </c>
      <c r="I11" s="109">
        <f t="shared" si="0"/>
        <v>2.4</v>
      </c>
      <c r="J11" s="109">
        <v>3.06</v>
      </c>
      <c r="K11" s="109">
        <v>9.54</v>
      </c>
      <c r="L11" s="109">
        <v>18.28</v>
      </c>
      <c r="M11" s="109">
        <v>171.22</v>
      </c>
      <c r="N11" s="148">
        <v>1</v>
      </c>
      <c r="O11" s="89">
        <f>(J11+L11)*4+K11*9</f>
        <v>171.22</v>
      </c>
      <c r="P11" s="29" t="s">
        <v>46</v>
      </c>
      <c r="Q11" s="2" t="s">
        <v>44</v>
      </c>
      <c r="R11" s="2">
        <v>481</v>
      </c>
    </row>
    <row r="12" spans="2:18" ht="15" customHeight="1">
      <c r="B12" s="119">
        <v>4</v>
      </c>
      <c r="C12" s="4" t="s">
        <v>65</v>
      </c>
      <c r="D12" s="5">
        <v>10</v>
      </c>
      <c r="E12" s="5" t="s">
        <v>27</v>
      </c>
      <c r="F12" s="149">
        <v>10</v>
      </c>
      <c r="G12" s="149">
        <v>10</v>
      </c>
      <c r="H12" s="150">
        <f>R11</f>
        <v>481</v>
      </c>
      <c r="I12" s="109">
        <f t="shared" si="0"/>
        <v>4.81</v>
      </c>
      <c r="J12" s="147">
        <v>0</v>
      </c>
      <c r="K12" s="147">
        <v>8.2</v>
      </c>
      <c r="L12" s="147">
        <v>0.1</v>
      </c>
      <c r="M12" s="147">
        <v>74.2</v>
      </c>
      <c r="N12" s="148">
        <v>14</v>
      </c>
      <c r="O12" s="89">
        <f>(J12+L12)*4+K12*9</f>
        <v>74.2</v>
      </c>
      <c r="P12" s="30" t="s">
        <v>177</v>
      </c>
      <c r="Q12" s="2" t="s">
        <v>44</v>
      </c>
      <c r="R12" s="2">
        <v>182</v>
      </c>
    </row>
    <row r="13" spans="2:18" ht="15" customHeight="1">
      <c r="B13" s="119">
        <v>5</v>
      </c>
      <c r="C13" s="4" t="s">
        <v>80</v>
      </c>
      <c r="D13" s="5">
        <v>10</v>
      </c>
      <c r="E13" s="5" t="s">
        <v>185</v>
      </c>
      <c r="F13" s="149">
        <v>10</v>
      </c>
      <c r="G13" s="149">
        <v>10</v>
      </c>
      <c r="H13" s="150">
        <f>R14</f>
        <v>505</v>
      </c>
      <c r="I13" s="109">
        <f t="shared" si="0"/>
        <v>5.05</v>
      </c>
      <c r="J13" s="109">
        <v>1.55</v>
      </c>
      <c r="K13" s="109">
        <v>1.97</v>
      </c>
      <c r="L13" s="109">
        <v>0</v>
      </c>
      <c r="M13" s="109">
        <v>23.93</v>
      </c>
      <c r="N13" s="141">
        <v>15</v>
      </c>
      <c r="O13" s="89">
        <f>(J13+L13)*4+K13*9</f>
        <v>23.93</v>
      </c>
      <c r="P13" s="30" t="s">
        <v>109</v>
      </c>
      <c r="Q13" s="2" t="s">
        <v>44</v>
      </c>
      <c r="R13" s="2">
        <v>206</v>
      </c>
    </row>
    <row r="14" spans="2:18" ht="15" customHeight="1">
      <c r="B14" s="119">
        <v>6</v>
      </c>
      <c r="C14" s="4" t="s">
        <v>13</v>
      </c>
      <c r="D14" s="5">
        <v>200</v>
      </c>
      <c r="E14" s="5" t="s">
        <v>14</v>
      </c>
      <c r="F14" s="119">
        <v>0.9</v>
      </c>
      <c r="G14" s="119">
        <v>0.9</v>
      </c>
      <c r="H14" s="119">
        <f>R58</f>
        <v>514</v>
      </c>
      <c r="I14" s="109">
        <f t="shared" si="0"/>
        <v>0.46</v>
      </c>
      <c r="J14" s="151"/>
      <c r="K14" s="151"/>
      <c r="L14" s="151"/>
      <c r="M14" s="152"/>
      <c r="N14" s="141"/>
      <c r="O14" s="89"/>
      <c r="P14" s="30" t="s">
        <v>47</v>
      </c>
      <c r="Q14" s="2" t="s">
        <v>44</v>
      </c>
      <c r="R14" s="2">
        <v>505</v>
      </c>
    </row>
    <row r="15" spans="2:18" s="11" customFormat="1" ht="15" customHeight="1">
      <c r="B15" s="119"/>
      <c r="C15" s="4"/>
      <c r="D15" s="5"/>
      <c r="E15" s="5" t="s">
        <v>2</v>
      </c>
      <c r="F15" s="119">
        <v>12</v>
      </c>
      <c r="G15" s="119">
        <v>12</v>
      </c>
      <c r="H15" s="119">
        <f>R50</f>
        <v>94</v>
      </c>
      <c r="I15" s="109">
        <f t="shared" si="0"/>
        <v>1.13</v>
      </c>
      <c r="J15" s="109">
        <v>0</v>
      </c>
      <c r="K15" s="109">
        <v>0</v>
      </c>
      <c r="L15" s="109">
        <v>14.92</v>
      </c>
      <c r="M15" s="116">
        <v>59.68</v>
      </c>
      <c r="N15" s="141">
        <v>1009</v>
      </c>
      <c r="O15" s="89">
        <f>(J15+L15)*4+K15*9</f>
        <v>59.68</v>
      </c>
      <c r="P15" s="30" t="s">
        <v>178</v>
      </c>
      <c r="Q15" s="2" t="s">
        <v>44</v>
      </c>
      <c r="R15" s="2">
        <v>233</v>
      </c>
    </row>
    <row r="16" spans="2:18" s="11" customFormat="1" ht="15" customHeight="1">
      <c r="B16" s="119">
        <v>7</v>
      </c>
      <c r="C16" s="97" t="s">
        <v>143</v>
      </c>
      <c r="D16" s="5">
        <v>100</v>
      </c>
      <c r="E16" s="5" t="s">
        <v>144</v>
      </c>
      <c r="F16" s="119">
        <v>100</v>
      </c>
      <c r="G16" s="119"/>
      <c r="H16" s="119">
        <f>R26</f>
        <v>116</v>
      </c>
      <c r="I16" s="109">
        <f t="shared" si="0"/>
        <v>11.6</v>
      </c>
      <c r="J16" s="109">
        <v>0.4</v>
      </c>
      <c r="K16" s="109">
        <v>0.4</v>
      </c>
      <c r="L16" s="109">
        <v>9.8</v>
      </c>
      <c r="M16" s="116">
        <v>44.4</v>
      </c>
      <c r="N16" s="141"/>
      <c r="O16" s="89">
        <f>(J16+L16)*4+K16*9</f>
        <v>44.4</v>
      </c>
      <c r="P16" s="30" t="s">
        <v>179</v>
      </c>
      <c r="Q16" s="2" t="s">
        <v>44</v>
      </c>
      <c r="R16" s="2">
        <v>58</v>
      </c>
    </row>
    <row r="17" spans="2:18" s="11" customFormat="1" ht="15" customHeight="1">
      <c r="B17" s="119">
        <v>8</v>
      </c>
      <c r="C17" s="4" t="s">
        <v>181</v>
      </c>
      <c r="D17" s="5">
        <v>25</v>
      </c>
      <c r="E17" s="5" t="s">
        <v>156</v>
      </c>
      <c r="F17" s="119">
        <v>25</v>
      </c>
      <c r="G17" s="119">
        <v>25</v>
      </c>
      <c r="H17" s="119">
        <f>R62</f>
        <v>159</v>
      </c>
      <c r="I17" s="109">
        <f t="shared" si="0"/>
        <v>3.98</v>
      </c>
      <c r="J17" s="109">
        <v>1.35</v>
      </c>
      <c r="K17" s="109">
        <v>4.2</v>
      </c>
      <c r="L17" s="109">
        <v>16.42</v>
      </c>
      <c r="M17" s="116">
        <v>108.88</v>
      </c>
      <c r="N17" s="141"/>
      <c r="O17" s="89">
        <f>(J17+L17)*4+K17*9</f>
        <v>108.88</v>
      </c>
      <c r="P17" s="30"/>
      <c r="Q17" s="2"/>
      <c r="R17" s="2"/>
    </row>
    <row r="18" spans="2:18" s="11" customFormat="1" ht="15" customHeight="1">
      <c r="B18" s="119"/>
      <c r="C18" s="4"/>
      <c r="D18" s="5"/>
      <c r="E18" s="119" t="s">
        <v>128</v>
      </c>
      <c r="F18" s="119">
        <v>1.5</v>
      </c>
      <c r="G18" s="119">
        <v>1.5</v>
      </c>
      <c r="H18" s="119">
        <f>R54</f>
        <v>23</v>
      </c>
      <c r="I18" s="109">
        <f t="shared" si="0"/>
        <v>0.03</v>
      </c>
      <c r="J18" s="109"/>
      <c r="K18" s="109"/>
      <c r="L18" s="109"/>
      <c r="M18" s="116"/>
      <c r="N18" s="141"/>
      <c r="O18" s="89"/>
      <c r="P18" s="30" t="s">
        <v>110</v>
      </c>
      <c r="Q18" s="2" t="s">
        <v>44</v>
      </c>
      <c r="R18" s="2">
        <v>51</v>
      </c>
    </row>
    <row r="19" spans="2:18" ht="15" customHeight="1">
      <c r="B19" s="153"/>
      <c r="C19" s="226" t="s">
        <v>202</v>
      </c>
      <c r="D19" s="154">
        <f>SUM(D6:D18)</f>
        <v>530</v>
      </c>
      <c r="E19" s="19"/>
      <c r="F19" s="19"/>
      <c r="G19" s="19"/>
      <c r="H19" s="119"/>
      <c r="I19" s="155">
        <f>SUM(I6:I18)</f>
        <v>65.07</v>
      </c>
      <c r="J19" s="155">
        <f>SUM(J6:J18)</f>
        <v>18.55</v>
      </c>
      <c r="K19" s="155">
        <f>SUM(K6:K18)</f>
        <v>48.29</v>
      </c>
      <c r="L19" s="155">
        <f>SUM(L6:L18)</f>
        <v>63.28</v>
      </c>
      <c r="M19" s="155">
        <f>SUM(M6:M18)</f>
        <v>761.93</v>
      </c>
      <c r="N19" s="156"/>
      <c r="O19" s="89">
        <f>(J19+L19)*4+K19*9</f>
        <v>761.93</v>
      </c>
      <c r="P19" s="30" t="s">
        <v>88</v>
      </c>
      <c r="Q19" s="2" t="s">
        <v>44</v>
      </c>
      <c r="R19" s="2">
        <v>49</v>
      </c>
    </row>
    <row r="20" spans="2:18" ht="15" customHeight="1">
      <c r="B20" s="119"/>
      <c r="C20" s="157" t="s">
        <v>155</v>
      </c>
      <c r="D20" s="112"/>
      <c r="E20" s="112"/>
      <c r="F20" s="119"/>
      <c r="G20" s="119"/>
      <c r="H20" s="119"/>
      <c r="I20" s="151"/>
      <c r="J20" s="109"/>
      <c r="K20" s="109"/>
      <c r="L20" s="109"/>
      <c r="M20" s="116"/>
      <c r="N20" s="141"/>
      <c r="O20" s="89"/>
      <c r="P20" s="30" t="s">
        <v>111</v>
      </c>
      <c r="Q20" s="2" t="s">
        <v>44</v>
      </c>
      <c r="R20" s="2">
        <v>67</v>
      </c>
    </row>
    <row r="21" spans="2:18" ht="13.5">
      <c r="B21" s="119">
        <v>1</v>
      </c>
      <c r="C21" s="139" t="s">
        <v>82</v>
      </c>
      <c r="D21" s="119" t="s">
        <v>164</v>
      </c>
      <c r="E21" s="112" t="s">
        <v>15</v>
      </c>
      <c r="F21" s="119">
        <v>75</v>
      </c>
      <c r="G21" s="119">
        <v>65</v>
      </c>
      <c r="H21" s="119">
        <f>R21</f>
        <v>57</v>
      </c>
      <c r="I21" s="109">
        <f aca="true" t="shared" si="1" ref="I21:I28">F21*H21/1000</f>
        <v>4.28</v>
      </c>
      <c r="J21" s="109"/>
      <c r="K21" s="109"/>
      <c r="L21" s="109"/>
      <c r="M21" s="116"/>
      <c r="N21" s="141"/>
      <c r="O21" s="89"/>
      <c r="P21" s="30" t="s">
        <v>112</v>
      </c>
      <c r="Q21" s="2" t="s">
        <v>44</v>
      </c>
      <c r="R21" s="2">
        <v>57</v>
      </c>
    </row>
    <row r="22" spans="2:18" ht="13.5">
      <c r="B22" s="119"/>
      <c r="C22" s="139"/>
      <c r="D22" s="121"/>
      <c r="E22" s="119" t="s">
        <v>7</v>
      </c>
      <c r="F22" s="119">
        <v>58</v>
      </c>
      <c r="G22" s="119">
        <v>43</v>
      </c>
      <c r="H22" s="119">
        <f>R16</f>
        <v>58</v>
      </c>
      <c r="I22" s="109">
        <f t="shared" si="1"/>
        <v>3.36</v>
      </c>
      <c r="J22" s="109"/>
      <c r="K22" s="109"/>
      <c r="L22" s="109"/>
      <c r="M22" s="116"/>
      <c r="N22" s="141"/>
      <c r="O22" s="89"/>
      <c r="P22" s="29" t="s">
        <v>113</v>
      </c>
      <c r="Q22" s="2" t="s">
        <v>44</v>
      </c>
      <c r="R22" s="2">
        <v>68</v>
      </c>
    </row>
    <row r="23" spans="2:18" ht="13.5">
      <c r="B23" s="119"/>
      <c r="C23" s="139"/>
      <c r="D23" s="119"/>
      <c r="E23" s="119" t="s">
        <v>8</v>
      </c>
      <c r="F23" s="119">
        <v>13</v>
      </c>
      <c r="G23" s="119">
        <v>10</v>
      </c>
      <c r="H23" s="119">
        <f>R20</f>
        <v>67</v>
      </c>
      <c r="I23" s="109">
        <f t="shared" si="1"/>
        <v>0.87</v>
      </c>
      <c r="J23" s="109"/>
      <c r="K23" s="109"/>
      <c r="L23" s="109"/>
      <c r="M23" s="116"/>
      <c r="N23" s="141"/>
      <c r="O23" s="89"/>
      <c r="P23" s="30" t="s">
        <v>180</v>
      </c>
      <c r="Q23" s="2" t="s">
        <v>44</v>
      </c>
      <c r="R23" s="2">
        <v>111</v>
      </c>
    </row>
    <row r="24" spans="2:18" ht="13.5">
      <c r="B24" s="119"/>
      <c r="C24" s="139"/>
      <c r="D24" s="119"/>
      <c r="E24" s="119" t="s">
        <v>24</v>
      </c>
      <c r="F24" s="119">
        <v>12</v>
      </c>
      <c r="G24" s="119">
        <v>10</v>
      </c>
      <c r="H24" s="119">
        <f>R19</f>
        <v>49</v>
      </c>
      <c r="I24" s="109">
        <f t="shared" si="1"/>
        <v>0.59</v>
      </c>
      <c r="J24" s="109"/>
      <c r="K24" s="109"/>
      <c r="L24" s="109"/>
      <c r="M24" s="116"/>
      <c r="N24" s="141"/>
      <c r="O24" s="89"/>
      <c r="P24" s="30" t="s">
        <v>114</v>
      </c>
      <c r="Q24" s="2" t="s">
        <v>44</v>
      </c>
      <c r="R24" s="2">
        <v>127</v>
      </c>
    </row>
    <row r="25" spans="2:18" ht="16.5" customHeight="1">
      <c r="B25" s="119"/>
      <c r="C25" s="139"/>
      <c r="D25" s="119"/>
      <c r="E25" s="121" t="s">
        <v>26</v>
      </c>
      <c r="F25" s="121">
        <v>4</v>
      </c>
      <c r="G25" s="121">
        <v>4</v>
      </c>
      <c r="H25" s="121">
        <f>R34</f>
        <v>147</v>
      </c>
      <c r="I25" s="147">
        <f t="shared" si="1"/>
        <v>0.59</v>
      </c>
      <c r="J25" s="109"/>
      <c r="K25" s="109"/>
      <c r="L25" s="109"/>
      <c r="M25" s="116"/>
      <c r="N25" s="141"/>
      <c r="O25" s="89"/>
      <c r="P25" s="30" t="s">
        <v>115</v>
      </c>
      <c r="Q25" s="2" t="s">
        <v>44</v>
      </c>
      <c r="R25" s="2">
        <v>124</v>
      </c>
    </row>
    <row r="26" spans="2:18" ht="13.5">
      <c r="B26" s="119"/>
      <c r="C26" s="139"/>
      <c r="D26" s="119"/>
      <c r="E26" s="121" t="s">
        <v>18</v>
      </c>
      <c r="F26" s="121">
        <v>3</v>
      </c>
      <c r="G26" s="121">
        <v>3</v>
      </c>
      <c r="H26" s="121">
        <f>R25</f>
        <v>124</v>
      </c>
      <c r="I26" s="147">
        <f t="shared" si="1"/>
        <v>0.37</v>
      </c>
      <c r="J26" s="109"/>
      <c r="K26" s="109"/>
      <c r="L26" s="109"/>
      <c r="M26" s="116"/>
      <c r="N26" s="141"/>
      <c r="O26" s="89"/>
      <c r="P26" s="30" t="s">
        <v>116</v>
      </c>
      <c r="Q26" s="2" t="s">
        <v>44</v>
      </c>
      <c r="R26" s="2">
        <v>116</v>
      </c>
    </row>
    <row r="27" spans="2:18" ht="13.5">
      <c r="B27" s="145"/>
      <c r="C27" s="139"/>
      <c r="D27" s="119"/>
      <c r="E27" s="121" t="s">
        <v>2</v>
      </c>
      <c r="F27" s="121">
        <v>1</v>
      </c>
      <c r="G27" s="121">
        <v>1</v>
      </c>
      <c r="H27" s="121">
        <f>R50</f>
        <v>94</v>
      </c>
      <c r="I27" s="147">
        <f t="shared" si="1"/>
        <v>0.09</v>
      </c>
      <c r="J27" s="109">
        <v>2.04</v>
      </c>
      <c r="K27" s="109">
        <v>5</v>
      </c>
      <c r="L27" s="109">
        <v>14.1</v>
      </c>
      <c r="M27" s="116">
        <v>109.56</v>
      </c>
      <c r="N27" s="141">
        <v>58</v>
      </c>
      <c r="O27" s="89">
        <f>(J27+L27)*4+K27*9</f>
        <v>109.56</v>
      </c>
      <c r="P27" s="30"/>
      <c r="Q27" s="2"/>
      <c r="R27" s="2"/>
    </row>
    <row r="28" spans="2:18" ht="13.5">
      <c r="B28" s="145"/>
      <c r="C28" s="139"/>
      <c r="D28" s="119"/>
      <c r="E28" s="158" t="s">
        <v>9</v>
      </c>
      <c r="F28" s="121">
        <v>10</v>
      </c>
      <c r="G28" s="121">
        <v>10</v>
      </c>
      <c r="H28" s="121">
        <f>R12</f>
        <v>182</v>
      </c>
      <c r="I28" s="147">
        <f t="shared" si="1"/>
        <v>1.82</v>
      </c>
      <c r="J28" s="109">
        <v>0.25</v>
      </c>
      <c r="K28" s="109">
        <v>3.09</v>
      </c>
      <c r="L28" s="109">
        <v>0.35</v>
      </c>
      <c r="M28" s="116">
        <v>30.21</v>
      </c>
      <c r="N28" s="141"/>
      <c r="O28" s="89">
        <f>(J28+L28)*4+K28*9</f>
        <v>30.21</v>
      </c>
      <c r="P28" s="30"/>
      <c r="Q28" s="2"/>
      <c r="R28" s="2"/>
    </row>
    <row r="29" spans="2:18" ht="13.5">
      <c r="B29" s="119">
        <v>2</v>
      </c>
      <c r="C29" s="142" t="s">
        <v>162</v>
      </c>
      <c r="D29" s="119">
        <v>200</v>
      </c>
      <c r="E29" s="121" t="s">
        <v>75</v>
      </c>
      <c r="F29" s="121">
        <v>84</v>
      </c>
      <c r="G29" s="121">
        <v>78</v>
      </c>
      <c r="H29" s="102">
        <f>R7</f>
        <v>258</v>
      </c>
      <c r="I29" s="147">
        <f>H29*F29/1000</f>
        <v>21.67</v>
      </c>
      <c r="J29" s="109"/>
      <c r="K29" s="109"/>
      <c r="L29" s="109"/>
      <c r="M29" s="116"/>
      <c r="N29" s="141"/>
      <c r="O29" s="89"/>
      <c r="P29" s="30" t="s">
        <v>117</v>
      </c>
      <c r="Q29" s="2" t="s">
        <v>44</v>
      </c>
      <c r="R29" s="2">
        <v>153</v>
      </c>
    </row>
    <row r="30" spans="2:18" ht="15" customHeight="1">
      <c r="B30" s="119"/>
      <c r="C30" s="139"/>
      <c r="D30" s="119"/>
      <c r="E30" s="121" t="s">
        <v>26</v>
      </c>
      <c r="F30" s="121">
        <v>2</v>
      </c>
      <c r="G30" s="121">
        <v>2</v>
      </c>
      <c r="H30" s="103">
        <f>R34</f>
        <v>147</v>
      </c>
      <c r="I30" s="147">
        <f>H30*F30/1000</f>
        <v>0.29</v>
      </c>
      <c r="J30" s="109"/>
      <c r="K30" s="109"/>
      <c r="L30" s="109"/>
      <c r="M30" s="116"/>
      <c r="N30" s="141"/>
      <c r="O30" s="89"/>
      <c r="P30" s="30" t="s">
        <v>118</v>
      </c>
      <c r="Q30" s="2" t="s">
        <v>44</v>
      </c>
      <c r="R30" s="2">
        <v>149</v>
      </c>
    </row>
    <row r="31" spans="2:18" ht="15" customHeight="1">
      <c r="B31" s="119"/>
      <c r="C31" s="139"/>
      <c r="D31" s="119"/>
      <c r="E31" s="121" t="s">
        <v>7</v>
      </c>
      <c r="F31" s="121">
        <v>128</v>
      </c>
      <c r="G31" s="121">
        <v>91</v>
      </c>
      <c r="H31" s="103">
        <f>R16</f>
        <v>58</v>
      </c>
      <c r="I31" s="147">
        <f>H31*F31/1000</f>
        <v>7.42</v>
      </c>
      <c r="J31" s="147"/>
      <c r="K31" s="147"/>
      <c r="L31" s="147"/>
      <c r="M31" s="116"/>
      <c r="N31" s="148"/>
      <c r="O31" s="89"/>
      <c r="P31" s="30" t="s">
        <v>43</v>
      </c>
      <c r="Q31" s="2" t="s">
        <v>44</v>
      </c>
      <c r="R31" s="2">
        <v>267</v>
      </c>
    </row>
    <row r="32" spans="2:18" ht="15" customHeight="1">
      <c r="B32" s="119"/>
      <c r="C32" s="139"/>
      <c r="D32" s="119"/>
      <c r="E32" s="121" t="s">
        <v>8</v>
      </c>
      <c r="F32" s="143">
        <v>24</v>
      </c>
      <c r="G32" s="143">
        <v>20</v>
      </c>
      <c r="H32" s="121">
        <f>R20</f>
        <v>67</v>
      </c>
      <c r="I32" s="147">
        <f>H32*F32/1000</f>
        <v>1.61</v>
      </c>
      <c r="J32" s="109"/>
      <c r="K32" s="109"/>
      <c r="L32" s="109"/>
      <c r="M32" s="116"/>
      <c r="N32" s="141"/>
      <c r="O32" s="89"/>
      <c r="P32" s="30" t="s">
        <v>119</v>
      </c>
      <c r="Q32" s="2" t="s">
        <v>44</v>
      </c>
      <c r="R32" s="2">
        <v>109</v>
      </c>
    </row>
    <row r="33" spans="2:18" ht="13.5">
      <c r="B33" s="119"/>
      <c r="C33" s="139"/>
      <c r="D33" s="119"/>
      <c r="E33" s="121" t="s">
        <v>18</v>
      </c>
      <c r="F33" s="143">
        <v>6</v>
      </c>
      <c r="G33" s="143">
        <v>6</v>
      </c>
      <c r="H33" s="143">
        <f>R25</f>
        <v>124</v>
      </c>
      <c r="I33" s="147">
        <f aca="true" t="shared" si="2" ref="I33:I42">F33*H33/1000</f>
        <v>0.74</v>
      </c>
      <c r="J33" s="109"/>
      <c r="K33" s="109"/>
      <c r="L33" s="109"/>
      <c r="M33" s="116"/>
      <c r="N33" s="141"/>
      <c r="O33" s="89"/>
      <c r="P33" s="30" t="s">
        <v>120</v>
      </c>
      <c r="Q33" s="2" t="s">
        <v>45</v>
      </c>
      <c r="R33" s="2">
        <v>62</v>
      </c>
    </row>
    <row r="34" spans="2:18" ht="13.5">
      <c r="B34" s="153"/>
      <c r="C34" s="139"/>
      <c r="D34" s="119"/>
      <c r="E34" s="121" t="s">
        <v>6</v>
      </c>
      <c r="F34" s="143">
        <v>13</v>
      </c>
      <c r="G34" s="143">
        <v>11</v>
      </c>
      <c r="H34" s="143">
        <f>R19</f>
        <v>49</v>
      </c>
      <c r="I34" s="147">
        <f t="shared" si="2"/>
        <v>0.64</v>
      </c>
      <c r="J34" s="147"/>
      <c r="K34" s="147"/>
      <c r="L34" s="147"/>
      <c r="M34" s="116"/>
      <c r="N34" s="148"/>
      <c r="O34" s="89"/>
      <c r="P34" s="30" t="s">
        <v>85</v>
      </c>
      <c r="Q34" s="2" t="s">
        <v>44</v>
      </c>
      <c r="R34" s="2">
        <v>147</v>
      </c>
    </row>
    <row r="35" spans="2:18" ht="13.5">
      <c r="B35" s="119"/>
      <c r="C35" s="4"/>
      <c r="D35" s="5"/>
      <c r="E35" s="121" t="s">
        <v>26</v>
      </c>
      <c r="F35" s="143">
        <v>5</v>
      </c>
      <c r="G35" s="143">
        <v>5</v>
      </c>
      <c r="H35" s="143">
        <f>R34</f>
        <v>147</v>
      </c>
      <c r="I35" s="147">
        <f t="shared" si="2"/>
        <v>0.74</v>
      </c>
      <c r="J35" s="109"/>
      <c r="K35" s="109"/>
      <c r="L35" s="109"/>
      <c r="M35" s="116"/>
      <c r="N35" s="141"/>
      <c r="O35" s="89"/>
      <c r="P35" s="30" t="s">
        <v>121</v>
      </c>
      <c r="Q35" s="2" t="s">
        <v>44</v>
      </c>
      <c r="R35" s="31">
        <v>205</v>
      </c>
    </row>
    <row r="36" spans="2:18" ht="13.5">
      <c r="B36" s="119"/>
      <c r="C36" s="4"/>
      <c r="D36" s="5"/>
      <c r="E36" s="119" t="s">
        <v>73</v>
      </c>
      <c r="F36" s="149">
        <v>2</v>
      </c>
      <c r="G36" s="149">
        <v>2</v>
      </c>
      <c r="H36" s="149">
        <f>R37</f>
        <v>48</v>
      </c>
      <c r="I36" s="109">
        <f t="shared" si="2"/>
        <v>0.1</v>
      </c>
      <c r="J36" s="147">
        <v>20.41</v>
      </c>
      <c r="K36" s="147">
        <v>21.29</v>
      </c>
      <c r="L36" s="147">
        <v>23.5</v>
      </c>
      <c r="M36" s="116">
        <v>367.25</v>
      </c>
      <c r="N36" s="148">
        <v>412</v>
      </c>
      <c r="O36" s="89">
        <f>(J36+L36)*4+K36*9</f>
        <v>367.25</v>
      </c>
      <c r="P36" s="69"/>
      <c r="Q36" s="2"/>
      <c r="R36" s="31"/>
    </row>
    <row r="37" spans="2:18" ht="13.5">
      <c r="B37" s="119">
        <v>3</v>
      </c>
      <c r="C37" s="4" t="s">
        <v>163</v>
      </c>
      <c r="D37" s="5">
        <v>30</v>
      </c>
      <c r="E37" s="5" t="s">
        <v>102</v>
      </c>
      <c r="F37" s="149">
        <v>32</v>
      </c>
      <c r="G37" s="149">
        <v>30</v>
      </c>
      <c r="H37" s="119">
        <f>R22</f>
        <v>68</v>
      </c>
      <c r="I37" s="109">
        <f t="shared" si="2"/>
        <v>2.18</v>
      </c>
      <c r="J37" s="147">
        <v>0.18</v>
      </c>
      <c r="K37" s="147">
        <v>0</v>
      </c>
      <c r="L37" s="147">
        <v>0.33</v>
      </c>
      <c r="M37" s="116">
        <v>2.04</v>
      </c>
      <c r="N37" s="141"/>
      <c r="O37" s="89">
        <f>(J37+L37)*4+K37*9</f>
        <v>2.04</v>
      </c>
      <c r="P37" s="69" t="s">
        <v>207</v>
      </c>
      <c r="Q37" s="2" t="s">
        <v>44</v>
      </c>
      <c r="R37" s="31">
        <v>48</v>
      </c>
    </row>
    <row r="38" spans="2:18" ht="13.5">
      <c r="B38" s="119">
        <v>4</v>
      </c>
      <c r="C38" s="110" t="s">
        <v>34</v>
      </c>
      <c r="D38" s="119">
        <v>50</v>
      </c>
      <c r="E38" s="112" t="s">
        <v>19</v>
      </c>
      <c r="F38" s="119">
        <v>50</v>
      </c>
      <c r="G38" s="119">
        <v>50</v>
      </c>
      <c r="H38" s="119">
        <f>R60</f>
        <v>48</v>
      </c>
      <c r="I38" s="109">
        <f t="shared" si="2"/>
        <v>2.4</v>
      </c>
      <c r="J38" s="109">
        <v>3.35</v>
      </c>
      <c r="K38" s="109">
        <v>0.35</v>
      </c>
      <c r="L38" s="109">
        <v>25.15</v>
      </c>
      <c r="M38" s="116">
        <v>117.15</v>
      </c>
      <c r="N38" s="141"/>
      <c r="O38" s="89">
        <f>(J38+L38)*4+K38*9</f>
        <v>117.15</v>
      </c>
      <c r="P38" s="69"/>
      <c r="Q38" s="2"/>
      <c r="R38" s="31"/>
    </row>
    <row r="39" spans="2:18" ht="13.5">
      <c r="B39" s="119">
        <v>5</v>
      </c>
      <c r="C39" s="178" t="s">
        <v>25</v>
      </c>
      <c r="D39" s="121">
        <v>200</v>
      </c>
      <c r="E39" s="121" t="s">
        <v>20</v>
      </c>
      <c r="F39" s="121">
        <v>15</v>
      </c>
      <c r="G39" s="121">
        <v>15</v>
      </c>
      <c r="H39" s="119">
        <f>R30</f>
        <v>149</v>
      </c>
      <c r="I39" s="109">
        <f t="shared" si="2"/>
        <v>2.24</v>
      </c>
      <c r="J39" s="109"/>
      <c r="K39" s="109"/>
      <c r="L39" s="109"/>
      <c r="M39" s="116"/>
      <c r="N39" s="141"/>
      <c r="O39" s="89"/>
      <c r="P39" s="69"/>
      <c r="Q39" s="2"/>
      <c r="R39" s="31"/>
    </row>
    <row r="40" spans="2:18" ht="13.5">
      <c r="B40" s="119"/>
      <c r="C40" s="119"/>
      <c r="D40" s="119"/>
      <c r="E40" s="119" t="s">
        <v>2</v>
      </c>
      <c r="F40" s="119">
        <v>15</v>
      </c>
      <c r="G40" s="119">
        <v>15</v>
      </c>
      <c r="H40" s="119">
        <f>R50</f>
        <v>94</v>
      </c>
      <c r="I40" s="109">
        <f t="shared" si="2"/>
        <v>1.41</v>
      </c>
      <c r="J40" s="109">
        <v>1.04</v>
      </c>
      <c r="K40" s="109">
        <v>0</v>
      </c>
      <c r="L40" s="109">
        <v>26.96</v>
      </c>
      <c r="M40" s="116">
        <v>112</v>
      </c>
      <c r="N40" s="141">
        <v>933</v>
      </c>
      <c r="O40" s="89">
        <f>(J40+L40)*4+K40*9</f>
        <v>112</v>
      </c>
      <c r="P40" s="69" t="s">
        <v>208</v>
      </c>
      <c r="Q40" s="2" t="s">
        <v>44</v>
      </c>
      <c r="R40" s="31">
        <v>129</v>
      </c>
    </row>
    <row r="41" spans="2:18" ht="13.5">
      <c r="B41" s="119"/>
      <c r="C41" s="119"/>
      <c r="D41" s="119"/>
      <c r="E41" s="119" t="s">
        <v>103</v>
      </c>
      <c r="F41" s="121">
        <v>0.0005</v>
      </c>
      <c r="G41" s="121">
        <v>0.0005</v>
      </c>
      <c r="H41" s="119"/>
      <c r="I41" s="109"/>
      <c r="J41" s="151"/>
      <c r="K41" s="151"/>
      <c r="L41" s="151"/>
      <c r="M41" s="152"/>
      <c r="N41" s="141"/>
      <c r="O41" s="89"/>
      <c r="P41" s="69"/>
      <c r="Q41" s="2"/>
      <c r="R41" s="31"/>
    </row>
    <row r="42" spans="2:18" ht="13.5">
      <c r="B42" s="119">
        <v>6</v>
      </c>
      <c r="C42" s="110" t="s">
        <v>143</v>
      </c>
      <c r="D42" s="119">
        <v>100</v>
      </c>
      <c r="E42" s="119" t="s">
        <v>144</v>
      </c>
      <c r="F42" s="121">
        <v>100</v>
      </c>
      <c r="G42" s="121"/>
      <c r="H42" s="121">
        <f>R26</f>
        <v>116</v>
      </c>
      <c r="I42" s="109">
        <f t="shared" si="2"/>
        <v>11.6</v>
      </c>
      <c r="J42" s="151">
        <v>0.4</v>
      </c>
      <c r="K42" s="151">
        <v>0.4</v>
      </c>
      <c r="L42" s="151">
        <v>9.8</v>
      </c>
      <c r="M42" s="152">
        <v>44.4</v>
      </c>
      <c r="N42" s="141"/>
      <c r="O42" s="89">
        <f>(J42+L42)*4+K42*9</f>
        <v>44.4</v>
      </c>
      <c r="P42" s="69" t="s">
        <v>209</v>
      </c>
      <c r="Q42" s="2" t="s">
        <v>44</v>
      </c>
      <c r="R42" s="31">
        <v>57</v>
      </c>
    </row>
    <row r="43" spans="2:18" ht="13.5">
      <c r="B43" s="119"/>
      <c r="C43" s="110"/>
      <c r="D43" s="119"/>
      <c r="E43" s="119" t="s">
        <v>128</v>
      </c>
      <c r="F43" s="119">
        <v>2</v>
      </c>
      <c r="G43" s="119">
        <v>2</v>
      </c>
      <c r="H43" s="119">
        <f>R54</f>
        <v>23</v>
      </c>
      <c r="I43" s="109">
        <f>F43*H43/1000</f>
        <v>0.05</v>
      </c>
      <c r="J43" s="109"/>
      <c r="K43" s="109"/>
      <c r="L43" s="109"/>
      <c r="M43" s="116"/>
      <c r="N43" s="141"/>
      <c r="O43" s="89"/>
      <c r="P43" s="69" t="s">
        <v>210</v>
      </c>
      <c r="Q43" s="2" t="s">
        <v>44</v>
      </c>
      <c r="R43" s="31">
        <v>100</v>
      </c>
    </row>
    <row r="44" spans="2:18" ht="13.5">
      <c r="B44" s="159"/>
      <c r="C44" s="160"/>
      <c r="D44" s="159"/>
      <c r="E44" s="159" t="s">
        <v>93</v>
      </c>
      <c r="F44" s="159">
        <v>0.02</v>
      </c>
      <c r="G44" s="159">
        <v>0.02</v>
      </c>
      <c r="H44" s="159">
        <f>R59</f>
        <v>508</v>
      </c>
      <c r="I44" s="151">
        <f>F44*H44/1000</f>
        <v>0.01</v>
      </c>
      <c r="J44" s="151"/>
      <c r="K44" s="151"/>
      <c r="L44" s="151"/>
      <c r="M44" s="152"/>
      <c r="N44" s="161"/>
      <c r="O44" s="89"/>
      <c r="P44" s="69" t="s">
        <v>211</v>
      </c>
      <c r="Q44" s="2" t="s">
        <v>44</v>
      </c>
      <c r="R44" s="31">
        <v>60</v>
      </c>
    </row>
    <row r="45" spans="2:18" ht="13.5">
      <c r="B45" s="119"/>
      <c r="C45" s="226" t="s">
        <v>203</v>
      </c>
      <c r="D45" s="162">
        <v>845</v>
      </c>
      <c r="E45" s="119"/>
      <c r="F45" s="119"/>
      <c r="G45" s="119"/>
      <c r="H45" s="119"/>
      <c r="I45" s="163">
        <f>SUM(I21:I44)</f>
        <v>65.07</v>
      </c>
      <c r="J45" s="163">
        <f>SUM(J21:J44)</f>
        <v>27.67</v>
      </c>
      <c r="K45" s="163">
        <f>SUM(K21:K44)</f>
        <v>30.13</v>
      </c>
      <c r="L45" s="163">
        <f>SUM(L21:L44)</f>
        <v>100.19</v>
      </c>
      <c r="M45" s="163">
        <f>SUM(M21:M44)</f>
        <v>782.61</v>
      </c>
      <c r="N45" s="156"/>
      <c r="O45" s="89">
        <f>(J45+L45)*4+K45*9</f>
        <v>782.61</v>
      </c>
      <c r="P45" s="30" t="s">
        <v>212</v>
      </c>
      <c r="Q45" s="2" t="s">
        <v>44</v>
      </c>
      <c r="R45" s="31">
        <v>59</v>
      </c>
    </row>
    <row r="46" spans="2:18" ht="13.5">
      <c r="B46" s="268" t="s">
        <v>204</v>
      </c>
      <c r="C46" s="268"/>
      <c r="D46" s="268"/>
      <c r="E46" s="268"/>
      <c r="F46" s="268"/>
      <c r="G46" s="268"/>
      <c r="H46" s="268"/>
      <c r="I46" s="268"/>
      <c r="J46" s="163">
        <f>SUM(J19+J45)</f>
        <v>46.22</v>
      </c>
      <c r="K46" s="163">
        <f>SUM(K19+K45)</f>
        <v>78.42</v>
      </c>
      <c r="L46" s="163">
        <f>SUM(L19+L45)</f>
        <v>163.47</v>
      </c>
      <c r="M46" s="163">
        <f>SUM(M19+M45)</f>
        <v>1544.54</v>
      </c>
      <c r="N46" s="156"/>
      <c r="O46" s="89">
        <f>(J46+L46)*4+K46*9</f>
        <v>1544.54</v>
      </c>
      <c r="P46" s="30" t="s">
        <v>213</v>
      </c>
      <c r="Q46" s="2" t="s">
        <v>44</v>
      </c>
      <c r="R46" s="31">
        <v>61</v>
      </c>
    </row>
    <row r="47" spans="2:18" ht="13.5">
      <c r="B47" s="164"/>
      <c r="C47" s="164"/>
      <c r="D47" s="164"/>
      <c r="E47" s="164"/>
      <c r="F47" s="164"/>
      <c r="G47" s="164"/>
      <c r="H47" s="164"/>
      <c r="I47" s="165"/>
      <c r="J47" s="165"/>
      <c r="K47" s="165"/>
      <c r="L47" s="165"/>
      <c r="M47" s="166"/>
      <c r="N47" s="167"/>
      <c r="O47" s="89"/>
      <c r="P47" s="30" t="s">
        <v>214</v>
      </c>
      <c r="Q47" s="2" t="s">
        <v>44</v>
      </c>
      <c r="R47" s="31">
        <v>51</v>
      </c>
    </row>
    <row r="48" spans="2:18" s="34" customFormat="1" ht="13.5">
      <c r="B48" s="168"/>
      <c r="C48" s="169"/>
      <c r="D48" s="168"/>
      <c r="E48" s="170"/>
      <c r="F48" s="168"/>
      <c r="G48" s="168"/>
      <c r="H48" s="168"/>
      <c r="I48" s="165"/>
      <c r="J48" s="165"/>
      <c r="K48" s="165"/>
      <c r="L48" s="165"/>
      <c r="M48" s="166"/>
      <c r="N48" s="167"/>
      <c r="O48" s="89"/>
      <c r="P48" s="30" t="s">
        <v>215</v>
      </c>
      <c r="Q48" s="2" t="s">
        <v>44</v>
      </c>
      <c r="R48" s="31">
        <v>53</v>
      </c>
    </row>
    <row r="49" spans="2:18" s="34" customFormat="1" ht="13.5">
      <c r="B49" s="168"/>
      <c r="C49" s="171"/>
      <c r="D49" s="168"/>
      <c r="E49" s="170"/>
      <c r="F49" s="168"/>
      <c r="G49" s="168"/>
      <c r="H49" s="168"/>
      <c r="I49" s="172"/>
      <c r="J49" s="165"/>
      <c r="K49" s="165"/>
      <c r="L49" s="165"/>
      <c r="M49" s="166"/>
      <c r="N49" s="167"/>
      <c r="O49" s="89"/>
      <c r="P49" s="30" t="s">
        <v>216</v>
      </c>
      <c r="Q49" s="2" t="s">
        <v>44</v>
      </c>
      <c r="R49" s="31">
        <v>78</v>
      </c>
    </row>
    <row r="50" spans="2:18" s="34" customFormat="1" ht="13.5">
      <c r="B50" s="168"/>
      <c r="C50" s="171"/>
      <c r="D50" s="168"/>
      <c r="E50" s="170"/>
      <c r="F50" s="168"/>
      <c r="G50" s="168"/>
      <c r="H50" s="168"/>
      <c r="I50" s="172"/>
      <c r="J50" s="165"/>
      <c r="K50" s="165"/>
      <c r="L50" s="165"/>
      <c r="M50" s="166"/>
      <c r="N50" s="167"/>
      <c r="O50" s="89"/>
      <c r="P50" s="30" t="s">
        <v>217</v>
      </c>
      <c r="Q50" s="2" t="s">
        <v>44</v>
      </c>
      <c r="R50" s="31">
        <v>94</v>
      </c>
    </row>
    <row r="51" spans="2:18" s="34" customFormat="1" ht="13.5">
      <c r="B51" s="131"/>
      <c r="C51" s="169" t="s">
        <v>36</v>
      </c>
      <c r="D51" s="173"/>
      <c r="E51" s="173"/>
      <c r="F51" s="124"/>
      <c r="G51" s="124"/>
      <c r="H51" s="124"/>
      <c r="I51" s="124"/>
      <c r="J51" s="124"/>
      <c r="K51" s="124"/>
      <c r="L51" s="124"/>
      <c r="M51" s="128"/>
      <c r="N51" s="129"/>
      <c r="O51" s="89"/>
      <c r="P51" s="30" t="s">
        <v>218</v>
      </c>
      <c r="Q51" s="2" t="s">
        <v>44</v>
      </c>
      <c r="R51" s="31">
        <v>65</v>
      </c>
    </row>
    <row r="52" spans="2:18" s="34" customFormat="1" ht="27">
      <c r="B52" s="265" t="s">
        <v>3</v>
      </c>
      <c r="C52" s="112"/>
      <c r="D52" s="112" t="s">
        <v>4</v>
      </c>
      <c r="E52" s="265" t="s">
        <v>28</v>
      </c>
      <c r="F52" s="135" t="s">
        <v>12</v>
      </c>
      <c r="G52" s="135" t="s">
        <v>56</v>
      </c>
      <c r="H52" s="135" t="s">
        <v>29</v>
      </c>
      <c r="I52" s="135" t="s">
        <v>30</v>
      </c>
      <c r="J52" s="262" t="s">
        <v>69</v>
      </c>
      <c r="K52" s="262" t="s">
        <v>70</v>
      </c>
      <c r="L52" s="262" t="s">
        <v>71</v>
      </c>
      <c r="M52" s="257" t="s">
        <v>72</v>
      </c>
      <c r="N52" s="259" t="s">
        <v>161</v>
      </c>
      <c r="O52" s="89"/>
      <c r="P52" s="30" t="s">
        <v>219</v>
      </c>
      <c r="Q52" s="2" t="s">
        <v>44</v>
      </c>
      <c r="R52" s="31">
        <v>67</v>
      </c>
    </row>
    <row r="53" spans="2:18" ht="15.75" customHeight="1">
      <c r="B53" s="263"/>
      <c r="C53" s="174" t="s">
        <v>154</v>
      </c>
      <c r="D53" s="175" t="s">
        <v>31</v>
      </c>
      <c r="E53" s="260"/>
      <c r="F53" s="159" t="s">
        <v>31</v>
      </c>
      <c r="G53" s="159" t="s">
        <v>31</v>
      </c>
      <c r="H53" s="119" t="s">
        <v>32</v>
      </c>
      <c r="I53" s="119" t="s">
        <v>33</v>
      </c>
      <c r="J53" s="267"/>
      <c r="K53" s="267"/>
      <c r="L53" s="267"/>
      <c r="M53" s="258"/>
      <c r="N53" s="260"/>
      <c r="O53" s="89"/>
      <c r="P53" s="30" t="s">
        <v>122</v>
      </c>
      <c r="Q53" s="2" t="s">
        <v>44</v>
      </c>
      <c r="R53" s="31">
        <v>346</v>
      </c>
    </row>
    <row r="54" spans="2:18" ht="15.75" customHeight="1">
      <c r="B54" s="112">
        <v>1</v>
      </c>
      <c r="C54" s="110" t="s">
        <v>188</v>
      </c>
      <c r="D54" s="111">
        <v>200</v>
      </c>
      <c r="E54" s="112" t="s">
        <v>189</v>
      </c>
      <c r="F54" s="112">
        <v>20</v>
      </c>
      <c r="G54" s="112">
        <v>20</v>
      </c>
      <c r="H54" s="176">
        <f>R42</f>
        <v>57</v>
      </c>
      <c r="I54" s="113">
        <f>F54*H54/1000</f>
        <v>1.14</v>
      </c>
      <c r="J54" s="113"/>
      <c r="K54" s="113"/>
      <c r="L54" s="113"/>
      <c r="M54" s="177"/>
      <c r="N54" s="176"/>
      <c r="O54" s="89"/>
      <c r="P54" s="30" t="s">
        <v>81</v>
      </c>
      <c r="Q54" s="2" t="s">
        <v>44</v>
      </c>
      <c r="R54" s="2">
        <v>23</v>
      </c>
    </row>
    <row r="55" spans="2:18" ht="15.75" customHeight="1">
      <c r="B55" s="112"/>
      <c r="C55" s="110"/>
      <c r="D55" s="111"/>
      <c r="E55" s="112" t="s">
        <v>10</v>
      </c>
      <c r="F55" s="112">
        <v>135</v>
      </c>
      <c r="G55" s="112">
        <v>135</v>
      </c>
      <c r="H55" s="112">
        <f>R10</f>
        <v>68</v>
      </c>
      <c r="I55" s="113">
        <f aca="true" t="shared" si="3" ref="I55:I69">F55*H55/1000</f>
        <v>9.18</v>
      </c>
      <c r="J55" s="113"/>
      <c r="K55" s="113"/>
      <c r="L55" s="113"/>
      <c r="M55" s="177"/>
      <c r="N55" s="176"/>
      <c r="O55" s="89"/>
      <c r="P55" s="30" t="s">
        <v>86</v>
      </c>
      <c r="Q55" s="2" t="s">
        <v>44</v>
      </c>
      <c r="R55" s="2">
        <v>212</v>
      </c>
    </row>
    <row r="56" spans="2:18" ht="15.75" customHeight="1">
      <c r="B56" s="119"/>
      <c r="C56" s="110"/>
      <c r="D56" s="111"/>
      <c r="E56" s="112" t="s">
        <v>2</v>
      </c>
      <c r="F56" s="112">
        <v>5</v>
      </c>
      <c r="G56" s="112">
        <v>5</v>
      </c>
      <c r="H56" s="112">
        <f>R50</f>
        <v>94</v>
      </c>
      <c r="I56" s="113">
        <f t="shared" si="3"/>
        <v>0.47</v>
      </c>
      <c r="J56" s="113"/>
      <c r="K56" s="113"/>
      <c r="L56" s="113"/>
      <c r="M56" s="177"/>
      <c r="N56" s="176"/>
      <c r="O56" s="89"/>
      <c r="P56" s="30" t="s">
        <v>123</v>
      </c>
      <c r="Q56" s="2" t="s">
        <v>44</v>
      </c>
      <c r="R56" s="2">
        <v>501</v>
      </c>
    </row>
    <row r="57" spans="2:18" ht="15.75" customHeight="1">
      <c r="B57" s="119"/>
      <c r="C57" s="110"/>
      <c r="D57" s="111"/>
      <c r="E57" s="112" t="s">
        <v>27</v>
      </c>
      <c r="F57" s="112">
        <v>6</v>
      </c>
      <c r="G57" s="112">
        <v>6</v>
      </c>
      <c r="H57" s="176">
        <f>R11</f>
        <v>481</v>
      </c>
      <c r="I57" s="113">
        <f t="shared" si="3"/>
        <v>2.89</v>
      </c>
      <c r="J57" s="116">
        <v>10.06</v>
      </c>
      <c r="K57" s="116">
        <v>16.62</v>
      </c>
      <c r="L57" s="116">
        <v>41.26</v>
      </c>
      <c r="M57" s="113">
        <v>354.86</v>
      </c>
      <c r="N57" s="114">
        <v>177</v>
      </c>
      <c r="O57" s="89">
        <f>(J57+L57)*4+K57*9</f>
        <v>354.86</v>
      </c>
      <c r="P57" s="30" t="s">
        <v>89</v>
      </c>
      <c r="Q57" s="2" t="s">
        <v>44</v>
      </c>
      <c r="R57" s="2">
        <v>409</v>
      </c>
    </row>
    <row r="58" spans="2:18" ht="15.75" customHeight="1">
      <c r="B58" s="119">
        <v>2</v>
      </c>
      <c r="C58" s="110" t="s">
        <v>190</v>
      </c>
      <c r="D58" s="111">
        <v>110</v>
      </c>
      <c r="E58" s="112" t="s">
        <v>73</v>
      </c>
      <c r="F58" s="112">
        <v>72</v>
      </c>
      <c r="G58" s="112">
        <v>72</v>
      </c>
      <c r="H58" s="112">
        <f>R37</f>
        <v>48</v>
      </c>
      <c r="I58" s="113">
        <f t="shared" si="3"/>
        <v>3.46</v>
      </c>
      <c r="J58" s="109"/>
      <c r="K58" s="109"/>
      <c r="L58" s="109"/>
      <c r="M58" s="109"/>
      <c r="N58" s="114"/>
      <c r="O58" s="89"/>
      <c r="P58" s="30" t="s">
        <v>124</v>
      </c>
      <c r="Q58" s="2" t="s">
        <v>44</v>
      </c>
      <c r="R58" s="2">
        <v>514</v>
      </c>
    </row>
    <row r="59" spans="2:18" s="70" customFormat="1" ht="15.75" customHeight="1">
      <c r="B59" s="119"/>
      <c r="C59" s="110"/>
      <c r="D59" s="111"/>
      <c r="E59" s="112" t="s">
        <v>2</v>
      </c>
      <c r="F59" s="112">
        <v>7</v>
      </c>
      <c r="G59" s="112">
        <v>7</v>
      </c>
      <c r="H59" s="121">
        <f>R50</f>
        <v>94</v>
      </c>
      <c r="I59" s="113">
        <f t="shared" si="3"/>
        <v>0.66</v>
      </c>
      <c r="J59" s="109"/>
      <c r="K59" s="109"/>
      <c r="L59" s="109"/>
      <c r="M59" s="109"/>
      <c r="N59" s="114"/>
      <c r="O59" s="89"/>
      <c r="P59" s="71" t="s">
        <v>92</v>
      </c>
      <c r="Q59" s="2" t="s">
        <v>44</v>
      </c>
      <c r="R59" s="2">
        <v>508</v>
      </c>
    </row>
    <row r="60" spans="2:18" ht="15.75" customHeight="1">
      <c r="B60" s="119"/>
      <c r="C60" s="110"/>
      <c r="D60" s="111"/>
      <c r="E60" s="112" t="s">
        <v>10</v>
      </c>
      <c r="F60" s="112">
        <v>30</v>
      </c>
      <c r="G60" s="112">
        <v>30</v>
      </c>
      <c r="H60" s="119">
        <f>R10</f>
        <v>68</v>
      </c>
      <c r="I60" s="113">
        <f t="shared" si="3"/>
        <v>2.04</v>
      </c>
      <c r="J60" s="109"/>
      <c r="K60" s="109"/>
      <c r="L60" s="109"/>
      <c r="M60" s="109"/>
      <c r="N60" s="114"/>
      <c r="O60" s="89"/>
      <c r="P60" s="30" t="s">
        <v>220</v>
      </c>
      <c r="Q60" s="2" t="s">
        <v>44</v>
      </c>
      <c r="R60" s="2">
        <v>48</v>
      </c>
    </row>
    <row r="61" spans="2:18" ht="15.75" customHeight="1">
      <c r="B61" s="121"/>
      <c r="C61" s="110"/>
      <c r="D61" s="111"/>
      <c r="E61" s="112" t="s">
        <v>11</v>
      </c>
      <c r="F61" s="112">
        <v>0.2</v>
      </c>
      <c r="G61" s="112">
        <v>0.2</v>
      </c>
      <c r="H61" s="109">
        <f>R5</f>
        <v>9.5</v>
      </c>
      <c r="I61" s="113">
        <f>F61*H61</f>
        <v>1.9</v>
      </c>
      <c r="J61" s="109"/>
      <c r="K61" s="109"/>
      <c r="L61" s="109"/>
      <c r="M61" s="109"/>
      <c r="N61" s="114"/>
      <c r="O61" s="89"/>
      <c r="P61" s="30"/>
      <c r="Q61" s="2"/>
      <c r="R61" s="2"/>
    </row>
    <row r="62" spans="2:18" ht="13.5">
      <c r="B62" s="121"/>
      <c r="C62" s="110"/>
      <c r="D62" s="111"/>
      <c r="E62" s="112" t="s">
        <v>191</v>
      </c>
      <c r="F62" s="112">
        <v>1</v>
      </c>
      <c r="G62" s="112">
        <v>1</v>
      </c>
      <c r="H62" s="119">
        <f>R53</f>
        <v>346</v>
      </c>
      <c r="I62" s="113">
        <f t="shared" si="3"/>
        <v>0.35</v>
      </c>
      <c r="J62" s="109"/>
      <c r="K62" s="109"/>
      <c r="L62" s="109"/>
      <c r="M62" s="109"/>
      <c r="N62" s="114"/>
      <c r="O62" s="89"/>
      <c r="P62" s="30" t="s">
        <v>181</v>
      </c>
      <c r="Q62" s="2" t="s">
        <v>44</v>
      </c>
      <c r="R62" s="2">
        <v>159</v>
      </c>
    </row>
    <row r="63" spans="2:18" ht="13.5">
      <c r="B63" s="121"/>
      <c r="C63" s="110"/>
      <c r="D63" s="111"/>
      <c r="E63" s="112" t="s">
        <v>26</v>
      </c>
      <c r="F63" s="112">
        <v>7</v>
      </c>
      <c r="G63" s="112">
        <v>7</v>
      </c>
      <c r="H63" s="119">
        <f>R34</f>
        <v>147</v>
      </c>
      <c r="I63" s="113">
        <f t="shared" si="3"/>
        <v>1.03</v>
      </c>
      <c r="J63" s="115">
        <v>8.54</v>
      </c>
      <c r="K63" s="116">
        <v>5.59</v>
      </c>
      <c r="L63" s="116">
        <v>57.51</v>
      </c>
      <c r="M63" s="109">
        <v>314.51</v>
      </c>
      <c r="N63" s="114">
        <v>466</v>
      </c>
      <c r="O63" s="89">
        <f aca="true" t="shared" si="4" ref="O63:O70">(J63+L63)*4+K63*9</f>
        <v>314.51</v>
      </c>
      <c r="P63" s="30"/>
      <c r="Q63" s="2"/>
      <c r="R63" s="2"/>
    </row>
    <row r="64" spans="2:18" ht="13.5">
      <c r="B64" s="121">
        <v>3</v>
      </c>
      <c r="C64" s="110" t="s">
        <v>192</v>
      </c>
      <c r="D64" s="111">
        <v>35</v>
      </c>
      <c r="E64" s="112" t="s">
        <v>23</v>
      </c>
      <c r="F64" s="112">
        <v>35</v>
      </c>
      <c r="G64" s="112">
        <v>35</v>
      </c>
      <c r="H64" s="119">
        <f>R14</f>
        <v>505</v>
      </c>
      <c r="I64" s="113">
        <f t="shared" si="3"/>
        <v>17.68</v>
      </c>
      <c r="J64" s="115">
        <v>7.32</v>
      </c>
      <c r="K64" s="116">
        <v>8.26</v>
      </c>
      <c r="L64" s="116">
        <v>0.7</v>
      </c>
      <c r="M64" s="109">
        <v>106.42</v>
      </c>
      <c r="N64" s="114"/>
      <c r="O64" s="89">
        <f t="shared" si="4"/>
        <v>106.42</v>
      </c>
      <c r="P64" s="30" t="s">
        <v>182</v>
      </c>
      <c r="Q64" s="2" t="s">
        <v>44</v>
      </c>
      <c r="R64" s="2">
        <v>179</v>
      </c>
    </row>
    <row r="65" spans="2:18" ht="13.5">
      <c r="B65" s="121">
        <v>4</v>
      </c>
      <c r="C65" s="139" t="s">
        <v>141</v>
      </c>
      <c r="D65" s="145">
        <v>200</v>
      </c>
      <c r="E65" s="119" t="s">
        <v>142</v>
      </c>
      <c r="F65" s="119">
        <v>3</v>
      </c>
      <c r="G65" s="119">
        <v>3</v>
      </c>
      <c r="H65" s="119">
        <f>R57</f>
        <v>409</v>
      </c>
      <c r="I65" s="113">
        <f t="shared" si="3"/>
        <v>1.23</v>
      </c>
      <c r="J65" s="147"/>
      <c r="K65" s="147"/>
      <c r="L65" s="147"/>
      <c r="M65" s="147"/>
      <c r="N65" s="148"/>
      <c r="O65" s="89"/>
      <c r="P65" s="30"/>
      <c r="Q65" s="2"/>
      <c r="R65" s="2"/>
    </row>
    <row r="66" spans="2:18" ht="13.5">
      <c r="B66" s="121"/>
      <c r="C66" s="139"/>
      <c r="D66" s="145"/>
      <c r="E66" s="119" t="s">
        <v>10</v>
      </c>
      <c r="F66" s="119">
        <v>100</v>
      </c>
      <c r="G66" s="119">
        <v>100</v>
      </c>
      <c r="H66" s="119">
        <f>R10</f>
        <v>68</v>
      </c>
      <c r="I66" s="113">
        <f t="shared" si="3"/>
        <v>6.8</v>
      </c>
      <c r="J66" s="147"/>
      <c r="K66" s="147"/>
      <c r="L66" s="147"/>
      <c r="M66" s="147"/>
      <c r="N66" s="148"/>
      <c r="O66" s="89"/>
      <c r="P66" s="227"/>
      <c r="Q66" s="228"/>
      <c r="R66" s="228"/>
    </row>
    <row r="67" spans="2:18" ht="13.5">
      <c r="B67" s="121"/>
      <c r="C67" s="178"/>
      <c r="D67" s="179"/>
      <c r="E67" s="158" t="s">
        <v>2</v>
      </c>
      <c r="F67" s="121">
        <v>9</v>
      </c>
      <c r="G67" s="121">
        <v>9</v>
      </c>
      <c r="H67" s="119">
        <f>R50</f>
        <v>94</v>
      </c>
      <c r="I67" s="113">
        <f t="shared" si="3"/>
        <v>0.85</v>
      </c>
      <c r="J67" s="117">
        <v>3.52</v>
      </c>
      <c r="K67" s="117">
        <v>3.72</v>
      </c>
      <c r="L67" s="117">
        <v>25.49</v>
      </c>
      <c r="M67" s="117">
        <f>(J67+L67)*4+K67*9</f>
        <v>149.52</v>
      </c>
      <c r="N67" s="118">
        <v>382</v>
      </c>
      <c r="O67" s="89">
        <f>(J67+L67)*4+K67*9</f>
        <v>149.52</v>
      </c>
      <c r="P67" s="72"/>
      <c r="Q67" s="73"/>
      <c r="R67" s="73"/>
    </row>
    <row r="68" spans="2:18" ht="13.5">
      <c r="B68" s="180">
        <v>5</v>
      </c>
      <c r="C68" s="181" t="s">
        <v>145</v>
      </c>
      <c r="D68" s="112">
        <v>100</v>
      </c>
      <c r="E68" s="119" t="s">
        <v>146</v>
      </c>
      <c r="F68" s="119">
        <v>100</v>
      </c>
      <c r="G68" s="119"/>
      <c r="H68" s="119">
        <f>R29</f>
        <v>153</v>
      </c>
      <c r="I68" s="113">
        <f t="shared" si="3"/>
        <v>15.3</v>
      </c>
      <c r="J68" s="109">
        <v>1.5</v>
      </c>
      <c r="K68" s="109">
        <v>0.5</v>
      </c>
      <c r="L68" s="109">
        <v>8</v>
      </c>
      <c r="M68" s="116">
        <v>42.5</v>
      </c>
      <c r="N68" s="141"/>
      <c r="O68" s="89">
        <f t="shared" si="4"/>
        <v>42.5</v>
      </c>
      <c r="P68" s="72"/>
      <c r="Q68" s="73"/>
      <c r="R68" s="73"/>
    </row>
    <row r="69" spans="2:18" ht="13.5">
      <c r="B69" s="180"/>
      <c r="C69" s="181"/>
      <c r="D69" s="121"/>
      <c r="E69" s="121" t="s">
        <v>128</v>
      </c>
      <c r="F69" s="121">
        <v>4</v>
      </c>
      <c r="G69" s="121">
        <v>4</v>
      </c>
      <c r="H69" s="119">
        <f>R54</f>
        <v>23</v>
      </c>
      <c r="I69" s="113">
        <f t="shared" si="3"/>
        <v>0.09</v>
      </c>
      <c r="J69" s="109"/>
      <c r="K69" s="109"/>
      <c r="L69" s="109"/>
      <c r="M69" s="116"/>
      <c r="N69" s="141"/>
      <c r="O69" s="89"/>
      <c r="P69" s="229"/>
      <c r="Q69" s="73"/>
      <c r="R69" s="73"/>
    </row>
    <row r="70" spans="2:18" ht="13.5">
      <c r="B70" s="119"/>
      <c r="C70" s="226" t="s">
        <v>202</v>
      </c>
      <c r="D70" s="162">
        <f>SUM(D54:D69)</f>
        <v>645</v>
      </c>
      <c r="E70" s="112"/>
      <c r="F70" s="121"/>
      <c r="G70" s="121"/>
      <c r="H70" s="121"/>
      <c r="I70" s="163">
        <f>SUM(I54:I69)</f>
        <v>65.07</v>
      </c>
      <c r="J70" s="163">
        <f>SUM(J54:J69)</f>
        <v>30.94</v>
      </c>
      <c r="K70" s="163">
        <f>SUM(K54:K69)</f>
        <v>34.69</v>
      </c>
      <c r="L70" s="163">
        <f>SUM(L54:L69)</f>
        <v>132.96</v>
      </c>
      <c r="M70" s="163">
        <f>SUM(M54:M69)</f>
        <v>967.81</v>
      </c>
      <c r="N70" s="156"/>
      <c r="O70" s="89">
        <f t="shared" si="4"/>
        <v>967.81</v>
      </c>
      <c r="P70" s="72"/>
      <c r="Q70" s="73"/>
      <c r="R70" s="73"/>
    </row>
    <row r="71" spans="2:18" ht="13.5">
      <c r="B71" s="119"/>
      <c r="C71" s="157" t="s">
        <v>155</v>
      </c>
      <c r="D71" s="112"/>
      <c r="E71" s="112"/>
      <c r="F71" s="119"/>
      <c r="G71" s="119"/>
      <c r="H71" s="119"/>
      <c r="I71" s="109"/>
      <c r="J71" s="109"/>
      <c r="K71" s="109"/>
      <c r="L71" s="109"/>
      <c r="M71" s="116"/>
      <c r="N71" s="141"/>
      <c r="O71" s="89"/>
      <c r="P71" s="72"/>
      <c r="Q71" s="73"/>
      <c r="R71" s="76"/>
    </row>
    <row r="72" spans="2:19" ht="15" customHeight="1">
      <c r="B72" s="119">
        <v>1</v>
      </c>
      <c r="C72" s="139" t="s">
        <v>74</v>
      </c>
      <c r="D72" s="119">
        <v>250</v>
      </c>
      <c r="E72" s="112" t="s">
        <v>7</v>
      </c>
      <c r="F72" s="119">
        <v>87</v>
      </c>
      <c r="G72" s="119">
        <v>73</v>
      </c>
      <c r="H72" s="119">
        <f>R16</f>
        <v>58</v>
      </c>
      <c r="I72" s="109">
        <f>F72*H72/1000</f>
        <v>5.05</v>
      </c>
      <c r="J72" s="109"/>
      <c r="K72" s="109"/>
      <c r="L72" s="109"/>
      <c r="M72" s="116"/>
      <c r="N72" s="141"/>
      <c r="O72" s="89"/>
      <c r="P72" s="72"/>
      <c r="Q72" s="73"/>
      <c r="R72" s="73"/>
      <c r="S72" s="3"/>
    </row>
    <row r="73" spans="2:19" ht="15" customHeight="1">
      <c r="B73" s="119"/>
      <c r="C73" s="139" t="s">
        <v>184</v>
      </c>
      <c r="D73" s="119"/>
      <c r="E73" s="119" t="s">
        <v>76</v>
      </c>
      <c r="F73" s="119">
        <v>8</v>
      </c>
      <c r="G73" s="119">
        <v>8</v>
      </c>
      <c r="H73" s="119">
        <f>R52</f>
        <v>67</v>
      </c>
      <c r="I73" s="109">
        <f>F73*H73/1000</f>
        <v>0.54</v>
      </c>
      <c r="J73" s="109"/>
      <c r="K73" s="109"/>
      <c r="L73" s="109"/>
      <c r="M73" s="116"/>
      <c r="N73" s="141"/>
      <c r="O73" s="89"/>
      <c r="P73" s="72"/>
      <c r="Q73" s="73"/>
      <c r="R73" s="73"/>
      <c r="S73" s="3"/>
    </row>
    <row r="74" spans="2:19" ht="15" customHeight="1">
      <c r="B74" s="119"/>
      <c r="C74" s="139"/>
      <c r="D74" s="119"/>
      <c r="E74" s="119" t="s">
        <v>8</v>
      </c>
      <c r="F74" s="119">
        <v>12</v>
      </c>
      <c r="G74" s="119">
        <v>10</v>
      </c>
      <c r="H74" s="119">
        <f>R20</f>
        <v>67</v>
      </c>
      <c r="I74" s="109">
        <f>F74*H74/1000</f>
        <v>0.8</v>
      </c>
      <c r="J74" s="109"/>
      <c r="K74" s="109"/>
      <c r="L74" s="109"/>
      <c r="M74" s="116"/>
      <c r="N74" s="141"/>
      <c r="O74" s="89"/>
      <c r="P74" s="72"/>
      <c r="Q74" s="73"/>
      <c r="R74" s="73"/>
      <c r="S74" s="3"/>
    </row>
    <row r="75" spans="2:19" ht="15" customHeight="1">
      <c r="B75" s="119"/>
      <c r="C75" s="139"/>
      <c r="D75" s="119"/>
      <c r="E75" s="119" t="s">
        <v>6</v>
      </c>
      <c r="F75" s="119">
        <v>12</v>
      </c>
      <c r="G75" s="119">
        <v>10</v>
      </c>
      <c r="H75" s="119">
        <f>R19</f>
        <v>49</v>
      </c>
      <c r="I75" s="109">
        <f>F75*H75/1000</f>
        <v>0.59</v>
      </c>
      <c r="J75" s="109"/>
      <c r="K75" s="109"/>
      <c r="L75" s="109"/>
      <c r="M75" s="116"/>
      <c r="N75" s="141"/>
      <c r="O75" s="89"/>
      <c r="P75" s="72"/>
      <c r="Q75" s="73"/>
      <c r="R75" s="73"/>
      <c r="S75" s="3"/>
    </row>
    <row r="76" spans="2:19" ht="15" customHeight="1">
      <c r="B76" s="119"/>
      <c r="C76" s="139"/>
      <c r="D76" s="119"/>
      <c r="E76" s="112" t="s">
        <v>26</v>
      </c>
      <c r="F76" s="119">
        <v>5</v>
      </c>
      <c r="G76" s="119">
        <v>5</v>
      </c>
      <c r="H76" s="119">
        <f>R34</f>
        <v>147</v>
      </c>
      <c r="I76" s="109">
        <f>F76*H76/1000</f>
        <v>0.74</v>
      </c>
      <c r="J76" s="109">
        <v>2.81</v>
      </c>
      <c r="K76" s="109">
        <v>5.42</v>
      </c>
      <c r="L76" s="109">
        <v>20.27</v>
      </c>
      <c r="M76" s="116">
        <v>141.1</v>
      </c>
      <c r="N76" s="141">
        <v>223</v>
      </c>
      <c r="O76" s="89">
        <f>(J76+L76)*4+K76*9</f>
        <v>141.1</v>
      </c>
      <c r="P76" s="72"/>
      <c r="Q76" s="73"/>
      <c r="R76" s="73"/>
      <c r="S76" s="3"/>
    </row>
    <row r="77" spans="2:19" s="34" customFormat="1" ht="15" customHeight="1">
      <c r="B77" s="121">
        <v>2</v>
      </c>
      <c r="C77" s="207" t="s">
        <v>165</v>
      </c>
      <c r="D77" s="121" t="s">
        <v>140</v>
      </c>
      <c r="E77" s="121" t="s">
        <v>16</v>
      </c>
      <c r="F77" s="121">
        <v>53</v>
      </c>
      <c r="G77" s="121">
        <v>53</v>
      </c>
      <c r="H77" s="121">
        <f>R6</f>
        <v>603</v>
      </c>
      <c r="I77" s="147">
        <f aca="true" t="shared" si="5" ref="I77:I87">F77*H77/1000</f>
        <v>31.96</v>
      </c>
      <c r="J77" s="147"/>
      <c r="K77" s="147"/>
      <c r="L77" s="147"/>
      <c r="M77" s="147"/>
      <c r="N77" s="148"/>
      <c r="O77" s="105"/>
      <c r="P77" s="95"/>
      <c r="Q77" s="76"/>
      <c r="R77" s="76"/>
      <c r="S77" s="96"/>
    </row>
    <row r="78" spans="2:19" ht="15" customHeight="1">
      <c r="B78" s="119"/>
      <c r="C78" s="110"/>
      <c r="D78" s="119"/>
      <c r="E78" s="119" t="s">
        <v>19</v>
      </c>
      <c r="F78" s="119">
        <v>11</v>
      </c>
      <c r="G78" s="119">
        <v>11</v>
      </c>
      <c r="H78" s="119">
        <f>R60</f>
        <v>48</v>
      </c>
      <c r="I78" s="109">
        <f t="shared" si="5"/>
        <v>0.53</v>
      </c>
      <c r="J78" s="109"/>
      <c r="K78" s="109"/>
      <c r="L78" s="109"/>
      <c r="M78" s="116"/>
      <c r="N78" s="141"/>
      <c r="O78" s="89"/>
      <c r="P78" s="72"/>
      <c r="Q78" s="73"/>
      <c r="R78" s="73"/>
      <c r="S78" s="3"/>
    </row>
    <row r="79" spans="2:19" ht="15" customHeight="1">
      <c r="B79" s="119"/>
      <c r="C79" s="110"/>
      <c r="D79" s="119"/>
      <c r="E79" s="119" t="s">
        <v>166</v>
      </c>
      <c r="F79" s="119">
        <v>11</v>
      </c>
      <c r="G79" s="119">
        <v>11</v>
      </c>
      <c r="H79" s="119">
        <f>R60</f>
        <v>48</v>
      </c>
      <c r="I79" s="109">
        <f t="shared" si="5"/>
        <v>0.53</v>
      </c>
      <c r="J79" s="109"/>
      <c r="K79" s="109"/>
      <c r="L79" s="109"/>
      <c r="M79" s="116"/>
      <c r="N79" s="141"/>
      <c r="O79" s="89"/>
      <c r="P79" s="72"/>
      <c r="Q79" s="73"/>
      <c r="R79" s="73"/>
      <c r="S79" s="3"/>
    </row>
    <row r="80" spans="2:19" ht="15" customHeight="1">
      <c r="B80" s="119"/>
      <c r="C80" s="110"/>
      <c r="D80" s="119"/>
      <c r="E80" s="119" t="s">
        <v>6</v>
      </c>
      <c r="F80" s="119">
        <v>12</v>
      </c>
      <c r="G80" s="119">
        <v>10</v>
      </c>
      <c r="H80" s="119">
        <f>R19</f>
        <v>49</v>
      </c>
      <c r="I80" s="109">
        <f t="shared" si="5"/>
        <v>0.59</v>
      </c>
      <c r="J80" s="109"/>
      <c r="K80" s="109"/>
      <c r="L80" s="109"/>
      <c r="M80" s="116"/>
      <c r="N80" s="141"/>
      <c r="O80" s="89"/>
      <c r="P80" s="72"/>
      <c r="Q80" s="73"/>
      <c r="R80" s="73"/>
      <c r="S80" s="3"/>
    </row>
    <row r="81" spans="2:19" ht="15" customHeight="1">
      <c r="B81" s="119"/>
      <c r="C81" s="110"/>
      <c r="D81" s="119"/>
      <c r="E81" s="119" t="s">
        <v>11</v>
      </c>
      <c r="F81" s="119">
        <v>0.1</v>
      </c>
      <c r="G81" s="119">
        <v>0.1</v>
      </c>
      <c r="H81" s="109">
        <f>R5</f>
        <v>9.5</v>
      </c>
      <c r="I81" s="109">
        <f>F81*H81</f>
        <v>0.95</v>
      </c>
      <c r="J81" s="109"/>
      <c r="K81" s="109"/>
      <c r="L81" s="109"/>
      <c r="M81" s="116"/>
      <c r="N81" s="141"/>
      <c r="O81" s="89"/>
      <c r="P81" s="72"/>
      <c r="Q81" s="73"/>
      <c r="R81" s="73"/>
      <c r="S81" s="3"/>
    </row>
    <row r="82" spans="2:19" ht="15" customHeight="1">
      <c r="B82" s="119"/>
      <c r="C82" s="182"/>
      <c r="D82" s="183"/>
      <c r="E82" s="183" t="s">
        <v>26</v>
      </c>
      <c r="F82" s="183">
        <v>5</v>
      </c>
      <c r="G82" s="183">
        <v>5</v>
      </c>
      <c r="H82" s="183">
        <f>R34</f>
        <v>147</v>
      </c>
      <c r="I82" s="109">
        <f t="shared" si="5"/>
        <v>0.74</v>
      </c>
      <c r="J82" s="109">
        <v>10.37</v>
      </c>
      <c r="K82" s="109">
        <v>8.18</v>
      </c>
      <c r="L82" s="109">
        <v>2.63</v>
      </c>
      <c r="M82" s="116">
        <v>125.62</v>
      </c>
      <c r="N82" s="141">
        <v>277</v>
      </c>
      <c r="O82" s="89">
        <f>(J82+L82)*4+K82*9</f>
        <v>125.62</v>
      </c>
      <c r="P82" s="72"/>
      <c r="Q82" s="73"/>
      <c r="R82" s="73"/>
      <c r="S82" s="3"/>
    </row>
    <row r="83" spans="2:19" ht="15" customHeight="1">
      <c r="B83" s="119"/>
      <c r="C83" s="182"/>
      <c r="D83" s="183"/>
      <c r="E83" s="183" t="s">
        <v>9</v>
      </c>
      <c r="F83" s="183">
        <v>10</v>
      </c>
      <c r="G83" s="183">
        <v>10</v>
      </c>
      <c r="H83" s="183">
        <f>R12</f>
        <v>182</v>
      </c>
      <c r="I83" s="109">
        <f t="shared" si="5"/>
        <v>1.82</v>
      </c>
      <c r="J83" s="109"/>
      <c r="K83" s="109"/>
      <c r="L83" s="109"/>
      <c r="M83" s="116"/>
      <c r="N83" s="141"/>
      <c r="O83" s="89"/>
      <c r="P83" s="72"/>
      <c r="Q83" s="73"/>
      <c r="R83" s="73"/>
      <c r="S83" s="3"/>
    </row>
    <row r="84" spans="2:19" ht="15" customHeight="1">
      <c r="B84" s="119"/>
      <c r="C84" s="182"/>
      <c r="D84" s="183"/>
      <c r="E84" s="183" t="s">
        <v>73</v>
      </c>
      <c r="F84" s="183">
        <v>1</v>
      </c>
      <c r="G84" s="183">
        <v>1</v>
      </c>
      <c r="H84" s="183">
        <f>R37</f>
        <v>48</v>
      </c>
      <c r="I84" s="109">
        <f t="shared" si="5"/>
        <v>0.05</v>
      </c>
      <c r="J84" s="109"/>
      <c r="K84" s="109"/>
      <c r="L84" s="109"/>
      <c r="M84" s="116"/>
      <c r="N84" s="141"/>
      <c r="O84" s="89"/>
      <c r="P84" s="72"/>
      <c r="Q84" s="73"/>
      <c r="R84" s="73"/>
      <c r="S84" s="3"/>
    </row>
    <row r="85" spans="2:19" ht="15" customHeight="1">
      <c r="B85" s="119"/>
      <c r="C85" s="182"/>
      <c r="D85" s="183"/>
      <c r="E85" s="183" t="s">
        <v>18</v>
      </c>
      <c r="F85" s="183">
        <v>4</v>
      </c>
      <c r="G85" s="183">
        <v>4</v>
      </c>
      <c r="H85" s="183">
        <f>R25</f>
        <v>124</v>
      </c>
      <c r="I85" s="184">
        <f t="shared" si="5"/>
        <v>0.5</v>
      </c>
      <c r="J85" s="109">
        <v>0.88</v>
      </c>
      <c r="K85" s="109">
        <v>2.5</v>
      </c>
      <c r="L85" s="109">
        <v>3.51</v>
      </c>
      <c r="M85" s="116">
        <v>40.06</v>
      </c>
      <c r="N85" s="141">
        <v>355</v>
      </c>
      <c r="O85" s="89">
        <f>(J85+L85)*4+K85*9</f>
        <v>40.06</v>
      </c>
      <c r="P85" s="72"/>
      <c r="Q85" s="73"/>
      <c r="R85" s="73"/>
      <c r="S85" s="3"/>
    </row>
    <row r="86" spans="2:19" ht="15" customHeight="1">
      <c r="B86" s="119">
        <v>3</v>
      </c>
      <c r="C86" s="182" t="s">
        <v>158</v>
      </c>
      <c r="D86" s="183">
        <v>150</v>
      </c>
      <c r="E86" s="183" t="s">
        <v>159</v>
      </c>
      <c r="F86" s="183">
        <v>47</v>
      </c>
      <c r="G86" s="183">
        <v>47</v>
      </c>
      <c r="H86" s="183">
        <f>R45</f>
        <v>59</v>
      </c>
      <c r="I86" s="184">
        <f t="shared" si="5"/>
        <v>2.77</v>
      </c>
      <c r="J86" s="109"/>
      <c r="K86" s="109"/>
      <c r="L86" s="109"/>
      <c r="M86" s="116"/>
      <c r="N86" s="141"/>
      <c r="O86" s="89"/>
      <c r="P86" s="72"/>
      <c r="Q86" s="73"/>
      <c r="R86" s="73"/>
      <c r="S86" s="3"/>
    </row>
    <row r="87" spans="2:19" ht="15" customHeight="1">
      <c r="B87" s="119"/>
      <c r="C87" s="182"/>
      <c r="D87" s="183"/>
      <c r="E87" s="183" t="s">
        <v>27</v>
      </c>
      <c r="F87" s="183">
        <v>5</v>
      </c>
      <c r="G87" s="183">
        <v>5</v>
      </c>
      <c r="H87" s="183">
        <f>R11</f>
        <v>481</v>
      </c>
      <c r="I87" s="184">
        <f t="shared" si="5"/>
        <v>2.41</v>
      </c>
      <c r="J87" s="109">
        <v>2.63</v>
      </c>
      <c r="K87" s="109">
        <v>11.08</v>
      </c>
      <c r="L87" s="109">
        <v>16.7</v>
      </c>
      <c r="M87" s="116">
        <v>177.04</v>
      </c>
      <c r="N87" s="141">
        <v>744</v>
      </c>
      <c r="O87" s="89">
        <f>(J87+L87)*4+K87*9</f>
        <v>177.04</v>
      </c>
      <c r="P87" s="72"/>
      <c r="Q87" s="73"/>
      <c r="R87" s="73"/>
      <c r="S87" s="3"/>
    </row>
    <row r="88" spans="2:19" ht="15" customHeight="1">
      <c r="B88" s="119">
        <v>4</v>
      </c>
      <c r="C88" s="182" t="s">
        <v>34</v>
      </c>
      <c r="D88" s="183">
        <v>50</v>
      </c>
      <c r="E88" s="183" t="s">
        <v>19</v>
      </c>
      <c r="F88" s="183">
        <v>50</v>
      </c>
      <c r="G88" s="183">
        <v>50</v>
      </c>
      <c r="H88" s="183">
        <f>R60</f>
        <v>48</v>
      </c>
      <c r="I88" s="184">
        <f aca="true" t="shared" si="6" ref="I88:I94">H88*F88/1000</f>
        <v>2.4</v>
      </c>
      <c r="J88" s="109">
        <v>3.35</v>
      </c>
      <c r="K88" s="109">
        <v>0.35</v>
      </c>
      <c r="L88" s="109">
        <v>25.15</v>
      </c>
      <c r="M88" s="116">
        <v>117.15</v>
      </c>
      <c r="N88" s="141"/>
      <c r="O88" s="89">
        <f>(J88+L88)*4+K88*9</f>
        <v>117.15</v>
      </c>
      <c r="P88" s="72"/>
      <c r="Q88" s="73"/>
      <c r="R88" s="73"/>
      <c r="S88" s="3"/>
    </row>
    <row r="89" spans="2:19" s="34" customFormat="1" ht="15" customHeight="1">
      <c r="B89" s="121">
        <v>5</v>
      </c>
      <c r="C89" s="178" t="s">
        <v>25</v>
      </c>
      <c r="D89" s="121">
        <v>200</v>
      </c>
      <c r="E89" s="121" t="s">
        <v>20</v>
      </c>
      <c r="F89" s="121">
        <v>14</v>
      </c>
      <c r="G89" s="121">
        <v>14</v>
      </c>
      <c r="H89" s="185">
        <f>R30</f>
        <v>149</v>
      </c>
      <c r="I89" s="186">
        <f t="shared" si="6"/>
        <v>2.09</v>
      </c>
      <c r="J89" s="147"/>
      <c r="K89" s="147"/>
      <c r="L89" s="147"/>
      <c r="M89" s="116"/>
      <c r="N89" s="148"/>
      <c r="O89" s="105"/>
      <c r="P89" s="95"/>
      <c r="Q89" s="76"/>
      <c r="R89" s="76"/>
      <c r="S89" s="96"/>
    </row>
    <row r="90" spans="2:19" ht="15" customHeight="1">
      <c r="B90" s="119"/>
      <c r="C90" s="119"/>
      <c r="D90" s="119"/>
      <c r="E90" s="119" t="s">
        <v>2</v>
      </c>
      <c r="F90" s="119">
        <v>13</v>
      </c>
      <c r="G90" s="119">
        <v>13</v>
      </c>
      <c r="H90" s="183">
        <f>R50</f>
        <v>94</v>
      </c>
      <c r="I90" s="184">
        <f t="shared" si="6"/>
        <v>1.22</v>
      </c>
      <c r="J90" s="109">
        <v>1.04</v>
      </c>
      <c r="K90" s="109">
        <v>0</v>
      </c>
      <c r="L90" s="109">
        <v>26.96</v>
      </c>
      <c r="M90" s="116">
        <v>112</v>
      </c>
      <c r="N90" s="141">
        <v>933</v>
      </c>
      <c r="O90" s="89">
        <f>(J90+L90)*4+K90*9</f>
        <v>112</v>
      </c>
      <c r="P90" s="72"/>
      <c r="Q90" s="73"/>
      <c r="R90" s="73"/>
      <c r="S90" s="3"/>
    </row>
    <row r="91" spans="2:19" ht="15" customHeight="1">
      <c r="B91" s="119"/>
      <c r="C91" s="119"/>
      <c r="D91" s="119"/>
      <c r="E91" s="119" t="s">
        <v>103</v>
      </c>
      <c r="F91" s="121">
        <v>0.0005</v>
      </c>
      <c r="G91" s="121">
        <v>0.0005</v>
      </c>
      <c r="H91" s="183"/>
      <c r="I91" s="184"/>
      <c r="J91" s="109"/>
      <c r="K91" s="109"/>
      <c r="L91" s="109"/>
      <c r="M91" s="116"/>
      <c r="N91" s="141"/>
      <c r="O91" s="89"/>
      <c r="P91" s="72"/>
      <c r="Q91" s="73"/>
      <c r="R91" s="73"/>
      <c r="S91" s="3"/>
    </row>
    <row r="92" spans="2:22" ht="13.5">
      <c r="B92" s="119">
        <v>6</v>
      </c>
      <c r="C92" s="110" t="s">
        <v>143</v>
      </c>
      <c r="D92" s="119">
        <v>75</v>
      </c>
      <c r="E92" s="119" t="s">
        <v>144</v>
      </c>
      <c r="F92" s="119">
        <v>75</v>
      </c>
      <c r="G92" s="119"/>
      <c r="H92" s="119">
        <f>R26</f>
        <v>116</v>
      </c>
      <c r="I92" s="109">
        <f t="shared" si="6"/>
        <v>8.7</v>
      </c>
      <c r="J92" s="109">
        <v>0.3</v>
      </c>
      <c r="K92" s="109">
        <v>0.3</v>
      </c>
      <c r="L92" s="109">
        <v>7.35</v>
      </c>
      <c r="M92" s="116">
        <v>33.3</v>
      </c>
      <c r="N92" s="141">
        <v>1009</v>
      </c>
      <c r="O92" s="89">
        <f>(J92+L92)*4+K92*9</f>
        <v>33.3</v>
      </c>
      <c r="P92" s="72"/>
      <c r="Q92" s="73"/>
      <c r="R92" s="73"/>
      <c r="S92" s="8"/>
      <c r="T92" s="12"/>
      <c r="U92" s="9"/>
      <c r="V92" s="9"/>
    </row>
    <row r="93" spans="2:22" ht="13.5">
      <c r="B93" s="119"/>
      <c r="C93" s="144"/>
      <c r="D93" s="119"/>
      <c r="E93" s="119" t="s">
        <v>128</v>
      </c>
      <c r="F93" s="119">
        <v>3.5</v>
      </c>
      <c r="G93" s="119">
        <v>3.5</v>
      </c>
      <c r="H93" s="119">
        <f>R54</f>
        <v>23</v>
      </c>
      <c r="I93" s="109">
        <f t="shared" si="6"/>
        <v>0.08</v>
      </c>
      <c r="J93" s="109"/>
      <c r="K93" s="109"/>
      <c r="L93" s="109"/>
      <c r="M93" s="116"/>
      <c r="N93" s="141"/>
      <c r="O93" s="89"/>
      <c r="P93" s="72"/>
      <c r="Q93" s="73"/>
      <c r="R93" s="74"/>
      <c r="S93" s="8"/>
      <c r="T93" s="12"/>
      <c r="U93" s="9"/>
      <c r="V93" s="9"/>
    </row>
    <row r="94" spans="2:22" ht="13.5">
      <c r="B94" s="119"/>
      <c r="C94" s="110"/>
      <c r="D94" s="119"/>
      <c r="E94" s="119" t="s">
        <v>93</v>
      </c>
      <c r="F94" s="119">
        <v>0.02</v>
      </c>
      <c r="G94" s="119">
        <v>0.02</v>
      </c>
      <c r="H94" s="119">
        <f>R59</f>
        <v>508</v>
      </c>
      <c r="I94" s="109">
        <f t="shared" si="6"/>
        <v>0.01</v>
      </c>
      <c r="J94" s="109"/>
      <c r="K94" s="109"/>
      <c r="L94" s="109"/>
      <c r="M94" s="116"/>
      <c r="N94" s="141"/>
      <c r="O94" s="89"/>
      <c r="P94" s="72"/>
      <c r="Q94" s="73"/>
      <c r="R94" s="75"/>
      <c r="S94" s="8"/>
      <c r="T94" s="8"/>
      <c r="U94" s="8"/>
      <c r="V94" s="9"/>
    </row>
    <row r="95" spans="2:19" ht="13.5">
      <c r="B95" s="119"/>
      <c r="C95" s="226" t="s">
        <v>203</v>
      </c>
      <c r="D95" s="162">
        <v>855</v>
      </c>
      <c r="E95" s="119"/>
      <c r="F95" s="119"/>
      <c r="G95" s="119"/>
      <c r="H95" s="121"/>
      <c r="I95" s="163">
        <f>SUM(I72:I94)</f>
        <v>65.07</v>
      </c>
      <c r="J95" s="163">
        <f>SUM(J72:J94)</f>
        <v>21.38</v>
      </c>
      <c r="K95" s="163">
        <f>SUM(K72:K94)</f>
        <v>27.83</v>
      </c>
      <c r="L95" s="163">
        <f>SUM(L72:L94)</f>
        <v>102.57</v>
      </c>
      <c r="M95" s="163">
        <f>SUM(M72:M94)</f>
        <v>746.27</v>
      </c>
      <c r="N95" s="156"/>
      <c r="O95" s="89">
        <f>(J95+L95)*4+K95*9</f>
        <v>746.27</v>
      </c>
      <c r="P95" s="77"/>
      <c r="Q95" s="76"/>
      <c r="R95" s="78"/>
      <c r="S95" s="3"/>
    </row>
    <row r="96" spans="2:19" ht="13.5">
      <c r="B96" s="268" t="s">
        <v>204</v>
      </c>
      <c r="C96" s="268"/>
      <c r="D96" s="268"/>
      <c r="E96" s="268"/>
      <c r="F96" s="268"/>
      <c r="G96" s="268"/>
      <c r="H96" s="268"/>
      <c r="I96" s="268"/>
      <c r="J96" s="163">
        <f>SUM(J70+J95)</f>
        <v>52.32</v>
      </c>
      <c r="K96" s="163">
        <f>SUM(K70+K95)</f>
        <v>62.52</v>
      </c>
      <c r="L96" s="163">
        <f>SUM(L70+L95)</f>
        <v>235.53</v>
      </c>
      <c r="M96" s="163">
        <f>SUM(M70+M95)</f>
        <v>1714.08</v>
      </c>
      <c r="N96" s="156"/>
      <c r="O96" s="89">
        <f>(J96+L96)*4+K96*9</f>
        <v>1714.08</v>
      </c>
      <c r="P96" s="3"/>
      <c r="Q96" s="3"/>
      <c r="R96" s="3"/>
      <c r="S96" s="3"/>
    </row>
    <row r="97" spans="2:19" ht="13.5">
      <c r="B97" s="131"/>
      <c r="C97" s="187"/>
      <c r="D97" s="131"/>
      <c r="E97" s="131"/>
      <c r="F97" s="131"/>
      <c r="G97" s="131"/>
      <c r="H97" s="168"/>
      <c r="I97" s="165"/>
      <c r="J97" s="165"/>
      <c r="K97" s="165"/>
      <c r="L97" s="165"/>
      <c r="M97" s="166"/>
      <c r="N97" s="167"/>
      <c r="O97" s="89"/>
      <c r="P97" s="8"/>
      <c r="Q97" s="12"/>
      <c r="R97" s="12"/>
      <c r="S97" s="3"/>
    </row>
    <row r="98" spans="2:19" ht="13.5">
      <c r="B98" s="131"/>
      <c r="C98" s="187"/>
      <c r="D98" s="131"/>
      <c r="E98" s="131"/>
      <c r="F98" s="131"/>
      <c r="G98" s="131"/>
      <c r="H98" s="168"/>
      <c r="I98" s="165"/>
      <c r="J98" s="165"/>
      <c r="K98" s="165"/>
      <c r="L98" s="165"/>
      <c r="M98" s="166"/>
      <c r="N98" s="167"/>
      <c r="O98" s="89"/>
      <c r="P98" s="8"/>
      <c r="Q98" s="12"/>
      <c r="R98" s="12"/>
      <c r="S98" s="3"/>
    </row>
    <row r="99" spans="3:19" ht="13.5">
      <c r="C99" s="188" t="s">
        <v>37</v>
      </c>
      <c r="D99" s="189"/>
      <c r="E99" s="173"/>
      <c r="O99" s="89"/>
      <c r="P99" s="3"/>
      <c r="Q99" s="3"/>
      <c r="R99" s="3"/>
      <c r="S99" s="3"/>
    </row>
    <row r="100" spans="2:20" ht="27">
      <c r="B100" s="265" t="s">
        <v>3</v>
      </c>
      <c r="C100" s="119"/>
      <c r="D100" s="112" t="s">
        <v>4</v>
      </c>
      <c r="E100" s="265" t="s">
        <v>28</v>
      </c>
      <c r="F100" s="135" t="s">
        <v>12</v>
      </c>
      <c r="G100" s="135" t="s">
        <v>56</v>
      </c>
      <c r="H100" s="135" t="s">
        <v>29</v>
      </c>
      <c r="I100" s="135" t="s">
        <v>30</v>
      </c>
      <c r="J100" s="262" t="s">
        <v>69</v>
      </c>
      <c r="K100" s="262" t="s">
        <v>70</v>
      </c>
      <c r="L100" s="262" t="s">
        <v>71</v>
      </c>
      <c r="M100" s="257" t="s">
        <v>72</v>
      </c>
      <c r="N100" s="259" t="s">
        <v>161</v>
      </c>
      <c r="O100" s="89"/>
      <c r="P100" s="3"/>
      <c r="Q100" s="3"/>
      <c r="R100" s="3"/>
      <c r="S100" s="3"/>
      <c r="T100" s="3"/>
    </row>
    <row r="101" spans="2:20" ht="13.5">
      <c r="B101" s="266"/>
      <c r="C101" s="138" t="s">
        <v>154</v>
      </c>
      <c r="D101" s="112" t="s">
        <v>31</v>
      </c>
      <c r="E101" s="260"/>
      <c r="F101" s="119" t="s">
        <v>31</v>
      </c>
      <c r="G101" s="119" t="s">
        <v>31</v>
      </c>
      <c r="H101" s="119" t="s">
        <v>32</v>
      </c>
      <c r="I101" s="119" t="s">
        <v>33</v>
      </c>
      <c r="J101" s="267"/>
      <c r="K101" s="267"/>
      <c r="L101" s="267"/>
      <c r="M101" s="258"/>
      <c r="N101" s="260"/>
      <c r="O101" s="89"/>
      <c r="P101" s="7"/>
      <c r="Q101" s="8"/>
      <c r="R101" s="8"/>
      <c r="S101" s="8"/>
      <c r="T101" s="8"/>
    </row>
    <row r="102" spans="2:20" ht="13.5">
      <c r="B102" s="145">
        <v>1</v>
      </c>
      <c r="C102" s="190" t="s">
        <v>138</v>
      </c>
      <c r="D102" s="121" t="s">
        <v>140</v>
      </c>
      <c r="E102" s="119" t="s">
        <v>139</v>
      </c>
      <c r="F102" s="119">
        <v>115</v>
      </c>
      <c r="G102" s="119">
        <v>104</v>
      </c>
      <c r="H102" s="141">
        <f>R7</f>
        <v>258</v>
      </c>
      <c r="I102" s="109">
        <f>H102*F102/1000</f>
        <v>29.67</v>
      </c>
      <c r="J102" s="109">
        <v>9.41</v>
      </c>
      <c r="K102" s="109">
        <v>8.63</v>
      </c>
      <c r="L102" s="109">
        <v>2.35</v>
      </c>
      <c r="M102" s="116">
        <v>124.71</v>
      </c>
      <c r="N102" s="141">
        <v>301</v>
      </c>
      <c r="O102" s="89">
        <f>(J102+L102)*4+K102*9</f>
        <v>124.71</v>
      </c>
      <c r="P102" s="7"/>
      <c r="Q102" s="8"/>
      <c r="R102" s="8"/>
      <c r="S102" s="8"/>
      <c r="T102" s="8"/>
    </row>
    <row r="103" spans="2:20" ht="13.5">
      <c r="B103" s="145"/>
      <c r="C103" s="190"/>
      <c r="D103" s="119"/>
      <c r="E103" s="112" t="s">
        <v>9</v>
      </c>
      <c r="F103" s="119">
        <v>13</v>
      </c>
      <c r="G103" s="119">
        <v>13</v>
      </c>
      <c r="H103" s="149">
        <f>R12</f>
        <v>182</v>
      </c>
      <c r="I103" s="109">
        <f aca="true" t="shared" si="7" ref="I103:I113">H103*F103/1000</f>
        <v>2.37</v>
      </c>
      <c r="J103" s="109"/>
      <c r="K103" s="109"/>
      <c r="L103" s="109"/>
      <c r="M103" s="116"/>
      <c r="N103" s="141"/>
      <c r="O103" s="89"/>
      <c r="P103" s="7"/>
      <c r="Q103" s="8"/>
      <c r="R103" s="8"/>
      <c r="S103" s="8"/>
      <c r="T103" s="8"/>
    </row>
    <row r="104" spans="2:20" ht="13.5">
      <c r="B104" s="145"/>
      <c r="C104" s="190"/>
      <c r="D104" s="119"/>
      <c r="E104" s="112" t="s">
        <v>73</v>
      </c>
      <c r="F104" s="119">
        <v>5</v>
      </c>
      <c r="G104" s="119">
        <v>5</v>
      </c>
      <c r="H104" s="149">
        <f>R37</f>
        <v>48</v>
      </c>
      <c r="I104" s="109">
        <f t="shared" si="7"/>
        <v>0.24</v>
      </c>
      <c r="J104" s="109"/>
      <c r="K104" s="109"/>
      <c r="L104" s="109"/>
      <c r="M104" s="116"/>
      <c r="N104" s="141"/>
      <c r="O104" s="89"/>
      <c r="P104" s="7"/>
      <c r="Q104" s="8"/>
      <c r="R104" s="8"/>
      <c r="S104" s="8"/>
      <c r="T104" s="8"/>
    </row>
    <row r="105" spans="2:20" ht="13.5">
      <c r="B105" s="145"/>
      <c r="C105" s="190"/>
      <c r="D105" s="119"/>
      <c r="E105" s="112" t="s">
        <v>18</v>
      </c>
      <c r="F105" s="119">
        <v>5</v>
      </c>
      <c r="G105" s="119">
        <v>5</v>
      </c>
      <c r="H105" s="149">
        <f>R25</f>
        <v>124</v>
      </c>
      <c r="I105" s="109">
        <f t="shared" si="7"/>
        <v>0.62</v>
      </c>
      <c r="J105" s="109">
        <v>0.88</v>
      </c>
      <c r="K105" s="109">
        <v>2.5</v>
      </c>
      <c r="L105" s="109">
        <v>3.51</v>
      </c>
      <c r="M105" s="116">
        <v>40.06</v>
      </c>
      <c r="N105" s="141">
        <v>355</v>
      </c>
      <c r="O105" s="89">
        <f>(J105+L105)*4+K105*9</f>
        <v>40.06</v>
      </c>
      <c r="P105" s="7"/>
      <c r="Q105" s="8"/>
      <c r="R105" s="8"/>
      <c r="S105" s="8"/>
      <c r="T105" s="8"/>
    </row>
    <row r="106" spans="2:20" ht="13.5">
      <c r="B106" s="145">
        <v>2</v>
      </c>
      <c r="C106" s="190" t="s">
        <v>134</v>
      </c>
      <c r="D106" s="119">
        <v>150</v>
      </c>
      <c r="E106" s="112" t="s">
        <v>133</v>
      </c>
      <c r="F106" s="119">
        <v>47</v>
      </c>
      <c r="G106" s="119">
        <v>47</v>
      </c>
      <c r="H106" s="149">
        <f>R40</f>
        <v>129</v>
      </c>
      <c r="I106" s="109">
        <f t="shared" si="7"/>
        <v>6.06</v>
      </c>
      <c r="J106" s="109"/>
      <c r="K106" s="109"/>
      <c r="L106" s="109"/>
      <c r="M106" s="116"/>
      <c r="N106" s="141"/>
      <c r="O106" s="89"/>
      <c r="P106" s="7"/>
      <c r="Q106" s="8"/>
      <c r="R106" s="8"/>
      <c r="S106" s="8"/>
      <c r="T106" s="8"/>
    </row>
    <row r="107" spans="2:20" ht="13.5">
      <c r="B107" s="145"/>
      <c r="C107" s="190"/>
      <c r="D107" s="119"/>
      <c r="E107" s="112" t="s">
        <v>27</v>
      </c>
      <c r="F107" s="119">
        <v>5</v>
      </c>
      <c r="G107" s="119">
        <v>5</v>
      </c>
      <c r="H107" s="149">
        <f>R11</f>
        <v>481</v>
      </c>
      <c r="I107" s="109">
        <f t="shared" si="7"/>
        <v>2.41</v>
      </c>
      <c r="J107" s="109">
        <v>8.55</v>
      </c>
      <c r="K107" s="109">
        <v>7.23</v>
      </c>
      <c r="L107" s="109">
        <v>41.17</v>
      </c>
      <c r="M107" s="116">
        <v>263.95</v>
      </c>
      <c r="N107" s="141">
        <v>744</v>
      </c>
      <c r="O107" s="89">
        <f>(J107+L107)*4+K107*9</f>
        <v>263.95</v>
      </c>
      <c r="P107" s="7"/>
      <c r="Q107" s="8"/>
      <c r="R107" s="8"/>
      <c r="S107" s="8"/>
      <c r="T107" s="8"/>
    </row>
    <row r="108" spans="2:20" ht="13.5">
      <c r="B108" s="145">
        <v>3</v>
      </c>
      <c r="C108" s="110" t="s">
        <v>34</v>
      </c>
      <c r="D108" s="119">
        <v>50</v>
      </c>
      <c r="E108" s="119" t="s">
        <v>19</v>
      </c>
      <c r="F108" s="119">
        <v>50</v>
      </c>
      <c r="G108" s="119">
        <v>50</v>
      </c>
      <c r="H108" s="119">
        <f>R60</f>
        <v>48</v>
      </c>
      <c r="I108" s="109">
        <f t="shared" si="7"/>
        <v>2.4</v>
      </c>
      <c r="J108" s="109">
        <v>3.35</v>
      </c>
      <c r="K108" s="109">
        <v>0.35</v>
      </c>
      <c r="L108" s="109">
        <v>25.15</v>
      </c>
      <c r="M108" s="116">
        <v>117.15</v>
      </c>
      <c r="N108" s="141"/>
      <c r="O108" s="89">
        <f>(J108+L108)*4+K108*9</f>
        <v>117.15</v>
      </c>
      <c r="P108" s="8"/>
      <c r="Q108" s="8"/>
      <c r="R108" s="8"/>
      <c r="S108" s="8"/>
      <c r="T108" s="8"/>
    </row>
    <row r="109" spans="2:20" ht="13.5">
      <c r="B109" s="159">
        <v>4</v>
      </c>
      <c r="C109" s="110" t="s">
        <v>78</v>
      </c>
      <c r="D109" s="119">
        <v>200</v>
      </c>
      <c r="E109" s="119" t="s">
        <v>135</v>
      </c>
      <c r="F109" s="159">
        <v>3</v>
      </c>
      <c r="G109" s="159">
        <v>3</v>
      </c>
      <c r="H109" s="119">
        <f>R56</f>
        <v>501</v>
      </c>
      <c r="I109" s="109">
        <f t="shared" si="7"/>
        <v>1.5</v>
      </c>
      <c r="J109" s="151"/>
      <c r="K109" s="151"/>
      <c r="L109" s="151"/>
      <c r="M109" s="152"/>
      <c r="N109" s="141"/>
      <c r="O109" s="89"/>
      <c r="P109" s="8"/>
      <c r="Q109" s="8"/>
      <c r="R109" s="8"/>
      <c r="S109" s="8"/>
      <c r="T109" s="8"/>
    </row>
    <row r="110" spans="2:20" ht="13.5">
      <c r="B110" s="159"/>
      <c r="C110" s="110"/>
      <c r="D110" s="119"/>
      <c r="E110" s="119" t="s">
        <v>10</v>
      </c>
      <c r="F110" s="159">
        <v>100</v>
      </c>
      <c r="G110" s="159">
        <v>100</v>
      </c>
      <c r="H110" s="119">
        <f>R10</f>
        <v>68</v>
      </c>
      <c r="I110" s="109">
        <f t="shared" si="7"/>
        <v>6.8</v>
      </c>
      <c r="J110" s="151"/>
      <c r="K110" s="151"/>
      <c r="L110" s="151"/>
      <c r="M110" s="152"/>
      <c r="N110" s="141"/>
      <c r="O110" s="89"/>
      <c r="P110" s="8"/>
      <c r="Q110" s="8"/>
      <c r="R110" s="8"/>
      <c r="S110" s="8"/>
      <c r="T110" s="8"/>
    </row>
    <row r="111" spans="2:20" ht="13.5">
      <c r="B111" s="159"/>
      <c r="C111" s="110"/>
      <c r="D111" s="119"/>
      <c r="E111" s="119" t="s">
        <v>2</v>
      </c>
      <c r="F111" s="159">
        <v>14</v>
      </c>
      <c r="G111" s="159">
        <v>14</v>
      </c>
      <c r="H111" s="119">
        <f>R50</f>
        <v>94</v>
      </c>
      <c r="I111" s="109">
        <f t="shared" si="7"/>
        <v>1.32</v>
      </c>
      <c r="J111" s="151">
        <v>3.12</v>
      </c>
      <c r="K111" s="151">
        <v>2.66</v>
      </c>
      <c r="L111" s="151">
        <v>14.18</v>
      </c>
      <c r="M111" s="152">
        <v>93.14</v>
      </c>
      <c r="N111" s="141">
        <v>1024</v>
      </c>
      <c r="O111" s="89">
        <f>(J111+L111)*4+K111*9</f>
        <v>93.14</v>
      </c>
      <c r="P111" s="8"/>
      <c r="Q111" s="8"/>
      <c r="R111" s="8"/>
      <c r="S111" s="8"/>
      <c r="T111" s="8"/>
    </row>
    <row r="112" spans="2:20" ht="13.5">
      <c r="B112" s="159">
        <v>5</v>
      </c>
      <c r="C112" s="110" t="s">
        <v>143</v>
      </c>
      <c r="D112" s="119">
        <v>100</v>
      </c>
      <c r="E112" s="119" t="s">
        <v>144</v>
      </c>
      <c r="F112" s="159">
        <v>100</v>
      </c>
      <c r="G112" s="159"/>
      <c r="H112" s="119">
        <f>R26</f>
        <v>116</v>
      </c>
      <c r="I112" s="109">
        <f t="shared" si="7"/>
        <v>11.6</v>
      </c>
      <c r="J112" s="109">
        <v>0.4</v>
      </c>
      <c r="K112" s="109">
        <v>0.4</v>
      </c>
      <c r="L112" s="109">
        <v>9.8</v>
      </c>
      <c r="M112" s="116">
        <v>44.4</v>
      </c>
      <c r="N112" s="141"/>
      <c r="O112" s="89">
        <f>(J112+L112)*4+K112*9</f>
        <v>44.4</v>
      </c>
      <c r="P112" s="8"/>
      <c r="Q112" s="8"/>
      <c r="R112" s="8"/>
      <c r="S112" s="8"/>
      <c r="T112" s="8"/>
    </row>
    <row r="113" spans="2:20" ht="13.5">
      <c r="B113" s="119"/>
      <c r="C113" s="110"/>
      <c r="D113" s="119"/>
      <c r="E113" s="119" t="s">
        <v>128</v>
      </c>
      <c r="F113" s="119">
        <v>3.5</v>
      </c>
      <c r="G113" s="119">
        <v>3.5</v>
      </c>
      <c r="H113" s="119">
        <f>R54</f>
        <v>23</v>
      </c>
      <c r="I113" s="109">
        <f t="shared" si="7"/>
        <v>0.08</v>
      </c>
      <c r="J113" s="109"/>
      <c r="K113" s="109"/>
      <c r="L113" s="109"/>
      <c r="M113" s="116"/>
      <c r="N113" s="141"/>
      <c r="O113" s="89"/>
      <c r="P113" s="8"/>
      <c r="Q113" s="8"/>
      <c r="R113" s="8"/>
      <c r="S113" s="8"/>
      <c r="T113" s="8"/>
    </row>
    <row r="114" spans="2:19" ht="13.5">
      <c r="B114" s="145"/>
      <c r="C114" s="226" t="s">
        <v>202</v>
      </c>
      <c r="D114" s="162">
        <v>630</v>
      </c>
      <c r="E114" s="119"/>
      <c r="F114" s="119"/>
      <c r="G114" s="119"/>
      <c r="H114" s="121"/>
      <c r="I114" s="163">
        <f>SUM(I102:I113)</f>
        <v>65.07</v>
      </c>
      <c r="J114" s="163">
        <f>SUM(J102:J113)</f>
        <v>25.71</v>
      </c>
      <c r="K114" s="163">
        <f>SUM(K102:K113)</f>
        <v>21.77</v>
      </c>
      <c r="L114" s="163">
        <f>SUM(L102:L113)</f>
        <v>96.16</v>
      </c>
      <c r="M114" s="163">
        <f>SUM(M102:M113)</f>
        <v>683.41</v>
      </c>
      <c r="N114" s="156"/>
      <c r="O114" s="89">
        <f>(J114+L114)*4+K114*9</f>
        <v>683.41</v>
      </c>
      <c r="P114" s="3"/>
      <c r="Q114" s="3"/>
      <c r="R114" s="3"/>
      <c r="S114" s="3"/>
    </row>
    <row r="115" spans="2:19" ht="13.5">
      <c r="B115" s="145"/>
      <c r="C115" s="157" t="s">
        <v>155</v>
      </c>
      <c r="D115" s="112"/>
      <c r="E115" s="112"/>
      <c r="F115" s="119"/>
      <c r="G115" s="119"/>
      <c r="H115" s="119"/>
      <c r="I115" s="109"/>
      <c r="J115" s="109"/>
      <c r="K115" s="109"/>
      <c r="L115" s="109"/>
      <c r="M115" s="116"/>
      <c r="N115" s="141"/>
      <c r="O115" s="89"/>
      <c r="P115" s="3"/>
      <c r="Q115" s="3"/>
      <c r="R115" s="3"/>
      <c r="S115" s="3"/>
    </row>
    <row r="116" spans="2:19" ht="13.5">
      <c r="B116" s="119">
        <v>1</v>
      </c>
      <c r="C116" s="182" t="s">
        <v>94</v>
      </c>
      <c r="D116" s="183" t="s">
        <v>175</v>
      </c>
      <c r="E116" s="183" t="s">
        <v>15</v>
      </c>
      <c r="F116" s="119">
        <v>33</v>
      </c>
      <c r="G116" s="119">
        <v>28</v>
      </c>
      <c r="H116" s="121">
        <f>R21</f>
        <v>57</v>
      </c>
      <c r="I116" s="109">
        <f aca="true" t="shared" si="8" ref="I116:I123">H116*F116/1000</f>
        <v>1.88</v>
      </c>
      <c r="J116" s="109"/>
      <c r="K116" s="109"/>
      <c r="L116" s="109"/>
      <c r="M116" s="116"/>
      <c r="N116" s="141"/>
      <c r="O116" s="89"/>
      <c r="P116" s="3"/>
      <c r="Q116" s="3"/>
      <c r="R116" s="3"/>
      <c r="S116" s="3"/>
    </row>
    <row r="117" spans="2:15" ht="13.5">
      <c r="B117" s="119"/>
      <c r="C117" s="182" t="s">
        <v>95</v>
      </c>
      <c r="D117" s="183"/>
      <c r="E117" s="183" t="s">
        <v>17</v>
      </c>
      <c r="F117" s="119">
        <v>20</v>
      </c>
      <c r="G117" s="119">
        <v>16</v>
      </c>
      <c r="H117" s="121">
        <f>R18</f>
        <v>51</v>
      </c>
      <c r="I117" s="109">
        <f t="shared" si="8"/>
        <v>1.02</v>
      </c>
      <c r="J117" s="109"/>
      <c r="K117" s="109"/>
      <c r="L117" s="109"/>
      <c r="M117" s="116"/>
      <c r="N117" s="141"/>
      <c r="O117" s="89"/>
    </row>
    <row r="118" spans="2:15" ht="13.5">
      <c r="B118" s="119"/>
      <c r="C118" s="191"/>
      <c r="D118" s="183"/>
      <c r="E118" s="183" t="s">
        <v>7</v>
      </c>
      <c r="F118" s="119">
        <v>23</v>
      </c>
      <c r="G118" s="119">
        <v>18</v>
      </c>
      <c r="H118" s="121">
        <f>R16</f>
        <v>58</v>
      </c>
      <c r="I118" s="109">
        <f t="shared" si="8"/>
        <v>1.33</v>
      </c>
      <c r="J118" s="109"/>
      <c r="K118" s="109"/>
      <c r="L118" s="109"/>
      <c r="M118" s="116"/>
      <c r="N118" s="141"/>
      <c r="O118" s="89"/>
    </row>
    <row r="119" spans="2:15" ht="13.5">
      <c r="B119" s="119"/>
      <c r="C119" s="191"/>
      <c r="D119" s="183"/>
      <c r="E119" s="183" t="s">
        <v>8</v>
      </c>
      <c r="F119" s="119">
        <v>10</v>
      </c>
      <c r="G119" s="119">
        <v>8</v>
      </c>
      <c r="H119" s="121">
        <f>R20</f>
        <v>67</v>
      </c>
      <c r="I119" s="109">
        <f t="shared" si="8"/>
        <v>0.67</v>
      </c>
      <c r="J119" s="109"/>
      <c r="K119" s="109"/>
      <c r="L119" s="109"/>
      <c r="M119" s="116"/>
      <c r="N119" s="141"/>
      <c r="O119" s="89"/>
    </row>
    <row r="120" spans="2:15" ht="13.5">
      <c r="B120" s="119"/>
      <c r="C120" s="191"/>
      <c r="D120" s="183"/>
      <c r="E120" s="183" t="s">
        <v>6</v>
      </c>
      <c r="F120" s="119">
        <v>10</v>
      </c>
      <c r="G120" s="119">
        <v>8</v>
      </c>
      <c r="H120" s="121">
        <f>R19</f>
        <v>49</v>
      </c>
      <c r="I120" s="109">
        <f t="shared" si="8"/>
        <v>0.49</v>
      </c>
      <c r="J120" s="109"/>
      <c r="K120" s="109"/>
      <c r="L120" s="109"/>
      <c r="M120" s="116"/>
      <c r="N120" s="141"/>
      <c r="O120" s="89"/>
    </row>
    <row r="121" spans="2:15" ht="13.5">
      <c r="B121" s="119"/>
      <c r="C121" s="191"/>
      <c r="D121" s="183"/>
      <c r="E121" s="183" t="s">
        <v>18</v>
      </c>
      <c r="F121" s="119">
        <v>2</v>
      </c>
      <c r="G121" s="119">
        <v>2</v>
      </c>
      <c r="H121" s="121">
        <f>R25</f>
        <v>124</v>
      </c>
      <c r="I121" s="109">
        <f t="shared" si="8"/>
        <v>0.25</v>
      </c>
      <c r="J121" s="109"/>
      <c r="K121" s="109"/>
      <c r="L121" s="109"/>
      <c r="M121" s="116"/>
      <c r="N121" s="141"/>
      <c r="O121" s="89"/>
    </row>
    <row r="122" spans="2:15" ht="13.5">
      <c r="B122" s="119"/>
      <c r="C122" s="191"/>
      <c r="D122" s="183"/>
      <c r="E122" s="183" t="s">
        <v>26</v>
      </c>
      <c r="F122" s="119">
        <v>4</v>
      </c>
      <c r="G122" s="119">
        <v>4</v>
      </c>
      <c r="H122" s="121">
        <f>R34</f>
        <v>147</v>
      </c>
      <c r="I122" s="109">
        <f t="shared" si="8"/>
        <v>0.59</v>
      </c>
      <c r="J122" s="109">
        <v>2.26</v>
      </c>
      <c r="K122" s="109">
        <v>4.18</v>
      </c>
      <c r="L122" s="109">
        <v>10.2</v>
      </c>
      <c r="M122" s="116">
        <v>87.46</v>
      </c>
      <c r="N122" s="141">
        <v>176</v>
      </c>
      <c r="O122" s="89">
        <f>(J122+L122)*4+K122*9</f>
        <v>87.46</v>
      </c>
    </row>
    <row r="123" spans="2:15" ht="13.5">
      <c r="B123" s="119"/>
      <c r="C123" s="191"/>
      <c r="D123" s="183"/>
      <c r="E123" s="183" t="s">
        <v>9</v>
      </c>
      <c r="F123" s="119">
        <v>10</v>
      </c>
      <c r="G123" s="119">
        <v>10</v>
      </c>
      <c r="H123" s="121">
        <f>R12</f>
        <v>182</v>
      </c>
      <c r="I123" s="109">
        <f t="shared" si="8"/>
        <v>1.82</v>
      </c>
      <c r="J123" s="109">
        <v>0.22</v>
      </c>
      <c r="K123" s="109">
        <v>2.82</v>
      </c>
      <c r="L123" s="109">
        <v>0.32</v>
      </c>
      <c r="M123" s="116">
        <v>27.54</v>
      </c>
      <c r="N123" s="141"/>
      <c r="O123" s="89">
        <f>(J123+L123)*4+K123*9</f>
        <v>27.54</v>
      </c>
    </row>
    <row r="124" spans="2:15" ht="13.5">
      <c r="B124" s="145">
        <v>2</v>
      </c>
      <c r="C124" s="190" t="s">
        <v>138</v>
      </c>
      <c r="D124" s="121" t="s">
        <v>140</v>
      </c>
      <c r="E124" s="119" t="s">
        <v>139</v>
      </c>
      <c r="F124" s="119">
        <v>114</v>
      </c>
      <c r="G124" s="119">
        <v>104</v>
      </c>
      <c r="H124" s="119">
        <f>R7</f>
        <v>258</v>
      </c>
      <c r="I124" s="109">
        <f>F124*H124/1000</f>
        <v>29.41</v>
      </c>
      <c r="J124" s="109">
        <v>9.41</v>
      </c>
      <c r="K124" s="109">
        <v>8.63</v>
      </c>
      <c r="L124" s="109">
        <v>2.35</v>
      </c>
      <c r="M124" s="116">
        <v>124.71</v>
      </c>
      <c r="N124" s="141">
        <v>301</v>
      </c>
      <c r="O124" s="89">
        <f>(J124+L124)*4+K124*9</f>
        <v>124.71</v>
      </c>
    </row>
    <row r="125" spans="2:15" ht="13.5">
      <c r="B125" s="145"/>
      <c r="C125" s="190"/>
      <c r="D125" s="119"/>
      <c r="E125" s="112" t="s">
        <v>9</v>
      </c>
      <c r="F125" s="119">
        <v>13</v>
      </c>
      <c r="G125" s="119">
        <v>13</v>
      </c>
      <c r="H125" s="119">
        <f>R12</f>
        <v>182</v>
      </c>
      <c r="I125" s="109">
        <f>F125*H125/1000</f>
        <v>2.37</v>
      </c>
      <c r="J125" s="109"/>
      <c r="K125" s="109"/>
      <c r="L125" s="109"/>
      <c r="M125" s="116"/>
      <c r="N125" s="141"/>
      <c r="O125" s="89"/>
    </row>
    <row r="126" spans="2:15" ht="13.5">
      <c r="B126" s="145"/>
      <c r="C126" s="190"/>
      <c r="D126" s="119"/>
      <c r="E126" s="112" t="s">
        <v>73</v>
      </c>
      <c r="F126" s="119">
        <v>5</v>
      </c>
      <c r="G126" s="119">
        <v>5</v>
      </c>
      <c r="H126" s="119">
        <f>R37</f>
        <v>48</v>
      </c>
      <c r="I126" s="109">
        <f>F126*H126/1000</f>
        <v>0.24</v>
      </c>
      <c r="J126" s="109"/>
      <c r="K126" s="109"/>
      <c r="L126" s="109"/>
      <c r="M126" s="116"/>
      <c r="N126" s="141"/>
      <c r="O126" s="89"/>
    </row>
    <row r="127" spans="2:16" ht="13.5">
      <c r="B127" s="145"/>
      <c r="C127" s="190"/>
      <c r="D127" s="119"/>
      <c r="E127" s="112" t="s">
        <v>18</v>
      </c>
      <c r="F127" s="119">
        <v>5</v>
      </c>
      <c r="G127" s="119">
        <v>5</v>
      </c>
      <c r="H127" s="148">
        <f>R25</f>
        <v>124</v>
      </c>
      <c r="I127" s="109">
        <f>H127*F127/1000</f>
        <v>0.62</v>
      </c>
      <c r="J127" s="109">
        <v>0.88</v>
      </c>
      <c r="K127" s="109">
        <v>2.5</v>
      </c>
      <c r="L127" s="109">
        <v>3.51</v>
      </c>
      <c r="M127" s="116">
        <v>40.06</v>
      </c>
      <c r="N127" s="141">
        <v>355</v>
      </c>
      <c r="O127" s="89">
        <f>(J127+L127)*4+K127*9</f>
        <v>40.06</v>
      </c>
      <c r="P127" s="18"/>
    </row>
    <row r="128" spans="2:15" ht="13.5">
      <c r="B128" s="145">
        <v>3</v>
      </c>
      <c r="C128" s="190" t="s">
        <v>134</v>
      </c>
      <c r="D128" s="119">
        <v>150</v>
      </c>
      <c r="E128" s="112" t="s">
        <v>133</v>
      </c>
      <c r="F128" s="119">
        <v>46</v>
      </c>
      <c r="G128" s="119">
        <v>46</v>
      </c>
      <c r="H128" s="121">
        <f>R40</f>
        <v>129</v>
      </c>
      <c r="I128" s="109">
        <f>H128*F128/1000</f>
        <v>5.93</v>
      </c>
      <c r="J128" s="109"/>
      <c r="K128" s="109"/>
      <c r="L128" s="109"/>
      <c r="M128" s="116"/>
      <c r="N128" s="141"/>
      <c r="O128" s="89"/>
    </row>
    <row r="129" spans="2:15" ht="13.5">
      <c r="B129" s="145"/>
      <c r="C129" s="190"/>
      <c r="D129" s="119"/>
      <c r="E129" s="112" t="s">
        <v>27</v>
      </c>
      <c r="F129" s="119">
        <v>5</v>
      </c>
      <c r="G129" s="119">
        <v>5</v>
      </c>
      <c r="H129" s="121">
        <f>R11</f>
        <v>481</v>
      </c>
      <c r="I129" s="109">
        <f>H129*F129/1000</f>
        <v>2.41</v>
      </c>
      <c r="J129" s="109">
        <v>8.55</v>
      </c>
      <c r="K129" s="109">
        <v>7.23</v>
      </c>
      <c r="L129" s="109">
        <v>41.17</v>
      </c>
      <c r="M129" s="116">
        <v>263.95</v>
      </c>
      <c r="N129" s="141">
        <v>744</v>
      </c>
      <c r="O129" s="89">
        <f>(J129+L129)*4+K129*9</f>
        <v>263.95</v>
      </c>
    </row>
    <row r="130" spans="2:15" ht="13.5">
      <c r="B130" s="145">
        <v>4</v>
      </c>
      <c r="C130" s="110" t="s">
        <v>34</v>
      </c>
      <c r="D130" s="119">
        <v>40</v>
      </c>
      <c r="E130" s="119" t="s">
        <v>19</v>
      </c>
      <c r="F130" s="119">
        <v>40</v>
      </c>
      <c r="G130" s="119">
        <v>40</v>
      </c>
      <c r="H130" s="119">
        <f>R60</f>
        <v>48</v>
      </c>
      <c r="I130" s="109">
        <f aca="true" t="shared" si="9" ref="I130:I136">F130*H130/1000</f>
        <v>1.92</v>
      </c>
      <c r="J130" s="109">
        <v>2.68</v>
      </c>
      <c r="K130" s="109">
        <v>0.28</v>
      </c>
      <c r="L130" s="109">
        <v>20.12</v>
      </c>
      <c r="M130" s="116">
        <v>93.72</v>
      </c>
      <c r="N130" s="141"/>
      <c r="O130" s="89">
        <f>(J130+L130)*4+K130*9</f>
        <v>93.72</v>
      </c>
    </row>
    <row r="131" spans="2:15" ht="13.5">
      <c r="B131" s="145">
        <v>5</v>
      </c>
      <c r="C131" s="190" t="s">
        <v>25</v>
      </c>
      <c r="D131" s="119">
        <v>200</v>
      </c>
      <c r="E131" s="119" t="s">
        <v>20</v>
      </c>
      <c r="F131" s="119">
        <v>14</v>
      </c>
      <c r="G131" s="119">
        <v>14</v>
      </c>
      <c r="H131" s="119">
        <f>R30</f>
        <v>149</v>
      </c>
      <c r="I131" s="109">
        <f t="shared" si="9"/>
        <v>2.09</v>
      </c>
      <c r="J131" s="109"/>
      <c r="K131" s="109"/>
      <c r="L131" s="109"/>
      <c r="M131" s="116"/>
      <c r="N131" s="141"/>
      <c r="O131" s="89"/>
    </row>
    <row r="132" spans="2:15" ht="13.5">
      <c r="B132" s="145"/>
      <c r="C132" s="119"/>
      <c r="D132" s="119"/>
      <c r="E132" s="119" t="s">
        <v>2</v>
      </c>
      <c r="F132" s="119">
        <v>13</v>
      </c>
      <c r="G132" s="119">
        <v>13</v>
      </c>
      <c r="H132" s="119">
        <f>R50</f>
        <v>94</v>
      </c>
      <c r="I132" s="109">
        <f t="shared" si="9"/>
        <v>1.22</v>
      </c>
      <c r="J132" s="109">
        <v>1.04</v>
      </c>
      <c r="K132" s="109">
        <v>0</v>
      </c>
      <c r="L132" s="109">
        <v>26.96</v>
      </c>
      <c r="M132" s="116">
        <v>112</v>
      </c>
      <c r="N132" s="141">
        <v>933</v>
      </c>
      <c r="O132" s="89">
        <f>(J132+L132)*4+K132*9</f>
        <v>112</v>
      </c>
    </row>
    <row r="133" spans="2:15" ht="13.5">
      <c r="B133" s="145"/>
      <c r="C133" s="119"/>
      <c r="D133" s="119"/>
      <c r="E133" s="119" t="s">
        <v>103</v>
      </c>
      <c r="F133" s="121">
        <v>0.0005</v>
      </c>
      <c r="G133" s="121">
        <v>0.0005</v>
      </c>
      <c r="H133" s="119"/>
      <c r="I133" s="184"/>
      <c r="J133" s="109"/>
      <c r="K133" s="109"/>
      <c r="L133" s="109"/>
      <c r="M133" s="116"/>
      <c r="N133" s="141"/>
      <c r="O133" s="89"/>
    </row>
    <row r="134" spans="2:15" ht="13.5">
      <c r="B134" s="145">
        <v>6</v>
      </c>
      <c r="C134" s="190" t="s">
        <v>145</v>
      </c>
      <c r="D134" s="119">
        <v>70</v>
      </c>
      <c r="E134" s="119" t="s">
        <v>146</v>
      </c>
      <c r="F134" s="119">
        <v>70</v>
      </c>
      <c r="G134" s="119"/>
      <c r="H134" s="119">
        <f>R29</f>
        <v>153</v>
      </c>
      <c r="I134" s="184">
        <f t="shared" si="9"/>
        <v>10.71</v>
      </c>
      <c r="J134" s="109">
        <v>1.05</v>
      </c>
      <c r="K134" s="109">
        <v>0.35</v>
      </c>
      <c r="L134" s="109">
        <v>5.6</v>
      </c>
      <c r="M134" s="116">
        <v>29.75</v>
      </c>
      <c r="N134" s="141"/>
      <c r="O134" s="89">
        <f>(J134+L134)*4+K134*9</f>
        <v>29.75</v>
      </c>
    </row>
    <row r="135" spans="2:15" ht="13.5">
      <c r="B135" s="145"/>
      <c r="C135" s="119"/>
      <c r="D135" s="119"/>
      <c r="E135" s="119" t="s">
        <v>128</v>
      </c>
      <c r="F135" s="119">
        <v>4</v>
      </c>
      <c r="G135" s="119">
        <v>4</v>
      </c>
      <c r="H135" s="119">
        <f>R54</f>
        <v>23</v>
      </c>
      <c r="I135" s="184">
        <f t="shared" si="9"/>
        <v>0.09</v>
      </c>
      <c r="J135" s="109"/>
      <c r="K135" s="109"/>
      <c r="L135" s="109"/>
      <c r="M135" s="116"/>
      <c r="N135" s="141"/>
      <c r="O135" s="89"/>
    </row>
    <row r="136" spans="2:15" ht="13.5">
      <c r="B136" s="145"/>
      <c r="C136" s="119"/>
      <c r="D136" s="119"/>
      <c r="E136" s="119" t="s">
        <v>93</v>
      </c>
      <c r="F136" s="119">
        <v>0.02</v>
      </c>
      <c r="G136" s="119">
        <v>0.02</v>
      </c>
      <c r="H136" s="119">
        <f>R59</f>
        <v>508</v>
      </c>
      <c r="I136" s="184">
        <f t="shared" si="9"/>
        <v>0.01</v>
      </c>
      <c r="J136" s="109"/>
      <c r="K136" s="109"/>
      <c r="L136" s="109"/>
      <c r="M136" s="116"/>
      <c r="N136" s="141"/>
      <c r="O136" s="89"/>
    </row>
    <row r="137" spans="2:15" ht="13.5">
      <c r="B137" s="145"/>
      <c r="C137" s="226" t="s">
        <v>203</v>
      </c>
      <c r="D137" s="162">
        <v>805</v>
      </c>
      <c r="E137" s="119"/>
      <c r="F137" s="119"/>
      <c r="G137" s="119"/>
      <c r="H137" s="121"/>
      <c r="I137" s="163">
        <f>SUM(I116:I136)</f>
        <v>65.07</v>
      </c>
      <c r="J137" s="163">
        <f>SUM(J116:J136)</f>
        <v>26.09</v>
      </c>
      <c r="K137" s="163">
        <f>SUM(K116:K136)</f>
        <v>25.99</v>
      </c>
      <c r="L137" s="163">
        <f>SUM(L116:L136)</f>
        <v>110.23</v>
      </c>
      <c r="M137" s="163">
        <f>SUM(M116:M136)</f>
        <v>779.19</v>
      </c>
      <c r="N137" s="156"/>
      <c r="O137" s="89">
        <f>(J137+L137)*4+K137*9</f>
        <v>779.19</v>
      </c>
    </row>
    <row r="138" spans="2:15" ht="13.5">
      <c r="B138" s="268" t="s">
        <v>204</v>
      </c>
      <c r="C138" s="268"/>
      <c r="D138" s="268"/>
      <c r="E138" s="268"/>
      <c r="F138" s="268"/>
      <c r="G138" s="268"/>
      <c r="H138" s="268"/>
      <c r="I138" s="268"/>
      <c r="J138" s="163">
        <f>SUM(J114+J137)</f>
        <v>51.8</v>
      </c>
      <c r="K138" s="163">
        <f>SUM(K114+K137)</f>
        <v>47.76</v>
      </c>
      <c r="L138" s="163">
        <f>SUM(L114+L137)</f>
        <v>206.39</v>
      </c>
      <c r="M138" s="163">
        <f>SUM(M114+M137)</f>
        <v>1462.6</v>
      </c>
      <c r="N138" s="156"/>
      <c r="O138" s="89">
        <f>(J138+L138)*4+K138*9</f>
        <v>1462.6</v>
      </c>
    </row>
    <row r="139" spans="2:15" ht="13.5">
      <c r="B139" s="192"/>
      <c r="C139" s="192"/>
      <c r="D139" s="192"/>
      <c r="E139" s="192"/>
      <c r="F139" s="192"/>
      <c r="G139" s="192"/>
      <c r="H139" s="192"/>
      <c r="I139" s="192"/>
      <c r="J139" s="165"/>
      <c r="K139" s="165"/>
      <c r="L139" s="165"/>
      <c r="M139" s="166"/>
      <c r="N139" s="167"/>
      <c r="O139" s="89"/>
    </row>
    <row r="140" spans="2:15" ht="13.5">
      <c r="B140" s="192"/>
      <c r="C140" s="192"/>
      <c r="D140" s="192"/>
      <c r="E140" s="192"/>
      <c r="F140" s="192"/>
      <c r="G140" s="192"/>
      <c r="H140" s="192"/>
      <c r="I140" s="192"/>
      <c r="J140" s="165"/>
      <c r="K140" s="165"/>
      <c r="L140" s="165"/>
      <c r="M140" s="166"/>
      <c r="N140" s="167"/>
      <c r="O140" s="89"/>
    </row>
    <row r="141" spans="2:15" s="34" customFormat="1" ht="13.5">
      <c r="B141" s="193"/>
      <c r="C141" s="126" t="s">
        <v>68</v>
      </c>
      <c r="D141" s="194"/>
      <c r="E141" s="194"/>
      <c r="F141" s="194"/>
      <c r="G141" s="194"/>
      <c r="H141" s="194"/>
      <c r="I141" s="194"/>
      <c r="J141" s="194"/>
      <c r="K141" s="194"/>
      <c r="L141" s="194"/>
      <c r="M141" s="195"/>
      <c r="N141" s="196"/>
      <c r="O141" s="105"/>
    </row>
    <row r="142" spans="2:15" ht="27">
      <c r="B142" s="265" t="s">
        <v>3</v>
      </c>
      <c r="C142" s="139"/>
      <c r="D142" s="112" t="s">
        <v>4</v>
      </c>
      <c r="E142" s="265" t="s">
        <v>28</v>
      </c>
      <c r="F142" s="135" t="s">
        <v>12</v>
      </c>
      <c r="G142" s="135" t="s">
        <v>56</v>
      </c>
      <c r="H142" s="135" t="s">
        <v>29</v>
      </c>
      <c r="I142" s="135" t="s">
        <v>30</v>
      </c>
      <c r="J142" s="262" t="s">
        <v>69</v>
      </c>
      <c r="K142" s="262" t="s">
        <v>70</v>
      </c>
      <c r="L142" s="262" t="s">
        <v>71</v>
      </c>
      <c r="M142" s="257" t="s">
        <v>72</v>
      </c>
      <c r="N142" s="259" t="s">
        <v>161</v>
      </c>
      <c r="O142" s="89"/>
    </row>
    <row r="143" spans="2:15" ht="13.5">
      <c r="B143" s="266"/>
      <c r="C143" s="138" t="s">
        <v>154</v>
      </c>
      <c r="D143" s="112" t="s">
        <v>31</v>
      </c>
      <c r="E143" s="260"/>
      <c r="F143" s="119" t="s">
        <v>31</v>
      </c>
      <c r="G143" s="197" t="s">
        <v>31</v>
      </c>
      <c r="H143" s="197" t="s">
        <v>32</v>
      </c>
      <c r="I143" s="183" t="s">
        <v>33</v>
      </c>
      <c r="J143" s="267"/>
      <c r="K143" s="267"/>
      <c r="L143" s="267"/>
      <c r="M143" s="258"/>
      <c r="N143" s="260"/>
      <c r="O143" s="89"/>
    </row>
    <row r="144" spans="2:15" ht="13.5">
      <c r="B144" s="198">
        <v>1</v>
      </c>
      <c r="C144" s="178" t="s">
        <v>168</v>
      </c>
      <c r="D144" s="121">
        <v>130</v>
      </c>
      <c r="E144" s="121" t="s">
        <v>77</v>
      </c>
      <c r="F144" s="119">
        <v>121</v>
      </c>
      <c r="G144" s="119">
        <v>112</v>
      </c>
      <c r="H144" s="141">
        <f>R35</f>
        <v>205</v>
      </c>
      <c r="I144" s="109">
        <f aca="true" t="shared" si="10" ref="I144:I161">F144*H144/1000</f>
        <v>24.81</v>
      </c>
      <c r="J144" s="109"/>
      <c r="K144" s="109"/>
      <c r="L144" s="109"/>
      <c r="M144" s="116"/>
      <c r="N144" s="141"/>
      <c r="O144" s="89"/>
    </row>
    <row r="145" spans="2:15" ht="13.5">
      <c r="B145" s="198"/>
      <c r="C145" s="121"/>
      <c r="D145" s="121"/>
      <c r="E145" s="121" t="s">
        <v>73</v>
      </c>
      <c r="F145" s="119">
        <v>7</v>
      </c>
      <c r="G145" s="119">
        <v>7</v>
      </c>
      <c r="H145" s="119">
        <f>R37</f>
        <v>48</v>
      </c>
      <c r="I145" s="109">
        <f t="shared" si="10"/>
        <v>0.34</v>
      </c>
      <c r="J145" s="109"/>
      <c r="K145" s="109"/>
      <c r="L145" s="109"/>
      <c r="M145" s="116"/>
      <c r="N145" s="141"/>
      <c r="O145" s="89"/>
    </row>
    <row r="146" spans="2:15" ht="13.5">
      <c r="B146" s="198"/>
      <c r="C146" s="121"/>
      <c r="D146" s="121"/>
      <c r="E146" s="121" t="s">
        <v>26</v>
      </c>
      <c r="F146" s="119">
        <v>9</v>
      </c>
      <c r="G146" s="119">
        <v>9</v>
      </c>
      <c r="H146" s="119">
        <f>R34</f>
        <v>147</v>
      </c>
      <c r="I146" s="109">
        <f t="shared" si="10"/>
        <v>1.32</v>
      </c>
      <c r="J146" s="109">
        <v>10.89</v>
      </c>
      <c r="K146" s="109">
        <v>5.96</v>
      </c>
      <c r="L146" s="109">
        <v>7.77</v>
      </c>
      <c r="M146" s="116">
        <v>128.28</v>
      </c>
      <c r="N146" s="141">
        <v>519</v>
      </c>
      <c r="O146" s="89">
        <f>(J146+L146)*4+K146*9</f>
        <v>128.28</v>
      </c>
    </row>
    <row r="147" spans="2:15" ht="13.5">
      <c r="B147" s="198"/>
      <c r="C147" s="121"/>
      <c r="D147" s="121"/>
      <c r="E147" s="121" t="s">
        <v>27</v>
      </c>
      <c r="F147" s="119">
        <v>2</v>
      </c>
      <c r="G147" s="119">
        <v>2</v>
      </c>
      <c r="H147" s="119">
        <f>R11</f>
        <v>481</v>
      </c>
      <c r="I147" s="109">
        <f t="shared" si="10"/>
        <v>0.96</v>
      </c>
      <c r="J147" s="109"/>
      <c r="K147" s="109"/>
      <c r="L147" s="109"/>
      <c r="M147" s="116"/>
      <c r="N147" s="141"/>
      <c r="O147" s="89"/>
    </row>
    <row r="148" spans="2:15" ht="13.5">
      <c r="B148" s="198"/>
      <c r="C148" s="121"/>
      <c r="D148" s="121"/>
      <c r="E148" s="121" t="s">
        <v>73</v>
      </c>
      <c r="F148" s="119">
        <v>2</v>
      </c>
      <c r="G148" s="119">
        <v>2</v>
      </c>
      <c r="H148" s="119">
        <f>R37</f>
        <v>48</v>
      </c>
      <c r="I148" s="109">
        <f t="shared" si="10"/>
        <v>0.1</v>
      </c>
      <c r="J148" s="109"/>
      <c r="K148" s="109"/>
      <c r="L148" s="109"/>
      <c r="M148" s="116"/>
      <c r="N148" s="141"/>
      <c r="O148" s="89"/>
    </row>
    <row r="149" spans="2:15" ht="13.5">
      <c r="B149" s="198"/>
      <c r="C149" s="178"/>
      <c r="D149" s="121"/>
      <c r="E149" s="121" t="s">
        <v>18</v>
      </c>
      <c r="F149" s="119">
        <v>2</v>
      </c>
      <c r="G149" s="119">
        <v>2</v>
      </c>
      <c r="H149" s="119">
        <f>R25</f>
        <v>124</v>
      </c>
      <c r="I149" s="109">
        <f t="shared" si="10"/>
        <v>0.25</v>
      </c>
      <c r="J149" s="109"/>
      <c r="K149" s="109"/>
      <c r="L149" s="109"/>
      <c r="M149" s="116"/>
      <c r="N149" s="141"/>
      <c r="O149" s="89"/>
    </row>
    <row r="150" spans="2:15" ht="13.5">
      <c r="B150" s="198"/>
      <c r="C150" s="110"/>
      <c r="D150" s="119"/>
      <c r="E150" s="112" t="s">
        <v>8</v>
      </c>
      <c r="F150" s="119">
        <v>5</v>
      </c>
      <c r="G150" s="119">
        <v>3</v>
      </c>
      <c r="H150" s="119">
        <f>R20</f>
        <v>67</v>
      </c>
      <c r="I150" s="109">
        <f t="shared" si="10"/>
        <v>0.34</v>
      </c>
      <c r="J150" s="109"/>
      <c r="K150" s="109"/>
      <c r="L150" s="109"/>
      <c r="M150" s="116"/>
      <c r="N150" s="141"/>
      <c r="O150" s="89"/>
    </row>
    <row r="151" spans="2:15" ht="13.5">
      <c r="B151" s="198"/>
      <c r="C151" s="110"/>
      <c r="D151" s="119"/>
      <c r="E151" s="112" t="s">
        <v>6</v>
      </c>
      <c r="F151" s="119">
        <v>4</v>
      </c>
      <c r="G151" s="119">
        <v>2</v>
      </c>
      <c r="H151" s="119">
        <f>R19</f>
        <v>49</v>
      </c>
      <c r="I151" s="109">
        <f t="shared" si="10"/>
        <v>0.2</v>
      </c>
      <c r="J151" s="109">
        <v>0.37</v>
      </c>
      <c r="K151" s="109">
        <v>1.61</v>
      </c>
      <c r="L151" s="109">
        <v>2.17</v>
      </c>
      <c r="M151" s="116">
        <v>24.65</v>
      </c>
      <c r="N151" s="141">
        <v>824</v>
      </c>
      <c r="O151" s="89">
        <f>(J151+L151)*4+K151*9</f>
        <v>24.65</v>
      </c>
    </row>
    <row r="152" spans="2:15" ht="13.5">
      <c r="B152" s="198">
        <v>2</v>
      </c>
      <c r="C152" s="110" t="s">
        <v>90</v>
      </c>
      <c r="D152" s="119">
        <v>150</v>
      </c>
      <c r="E152" s="112" t="s">
        <v>7</v>
      </c>
      <c r="F152" s="119">
        <v>184</v>
      </c>
      <c r="G152" s="119">
        <v>140</v>
      </c>
      <c r="H152" s="119">
        <f>R16</f>
        <v>58</v>
      </c>
      <c r="I152" s="109">
        <f t="shared" si="10"/>
        <v>10.67</v>
      </c>
      <c r="J152" s="109"/>
      <c r="K152" s="109"/>
      <c r="L152" s="109"/>
      <c r="M152" s="116"/>
      <c r="N152" s="141"/>
      <c r="O152" s="89"/>
    </row>
    <row r="153" spans="2:15" ht="13.5">
      <c r="B153" s="198"/>
      <c r="C153" s="110"/>
      <c r="D153" s="119"/>
      <c r="E153" s="112" t="s">
        <v>10</v>
      </c>
      <c r="F153" s="119">
        <v>30</v>
      </c>
      <c r="G153" s="119">
        <v>30</v>
      </c>
      <c r="H153" s="119">
        <f>R10</f>
        <v>68</v>
      </c>
      <c r="I153" s="109">
        <f t="shared" si="10"/>
        <v>2.04</v>
      </c>
      <c r="J153" s="109"/>
      <c r="K153" s="109"/>
      <c r="L153" s="109"/>
      <c r="M153" s="116"/>
      <c r="N153" s="141"/>
      <c r="O153" s="89"/>
    </row>
    <row r="154" spans="2:15" ht="13.5">
      <c r="B154" s="198"/>
      <c r="C154" s="110"/>
      <c r="D154" s="119"/>
      <c r="E154" s="112" t="s">
        <v>27</v>
      </c>
      <c r="F154" s="119">
        <v>5</v>
      </c>
      <c r="G154" s="119">
        <v>5</v>
      </c>
      <c r="H154" s="119">
        <f>R11</f>
        <v>481</v>
      </c>
      <c r="I154" s="109">
        <f t="shared" si="10"/>
        <v>2.41</v>
      </c>
      <c r="J154" s="109">
        <v>3.44</v>
      </c>
      <c r="K154" s="109">
        <v>5.51</v>
      </c>
      <c r="L154" s="109">
        <v>22.31</v>
      </c>
      <c r="M154" s="116">
        <v>152.59</v>
      </c>
      <c r="N154" s="141">
        <v>759</v>
      </c>
      <c r="O154" s="89">
        <f>(J154+L154)*4+K154*9</f>
        <v>152.59</v>
      </c>
    </row>
    <row r="155" spans="2:15" ht="13.5">
      <c r="B155" s="121">
        <v>3</v>
      </c>
      <c r="C155" s="178" t="s">
        <v>34</v>
      </c>
      <c r="D155" s="121">
        <v>50</v>
      </c>
      <c r="E155" s="121" t="s">
        <v>19</v>
      </c>
      <c r="F155" s="119">
        <v>50</v>
      </c>
      <c r="G155" s="119">
        <v>50</v>
      </c>
      <c r="H155" s="119">
        <f>R60</f>
        <v>48</v>
      </c>
      <c r="I155" s="109">
        <f t="shared" si="10"/>
        <v>2.4</v>
      </c>
      <c r="J155" s="109">
        <v>3.35</v>
      </c>
      <c r="K155" s="109">
        <v>0.35</v>
      </c>
      <c r="L155" s="109">
        <v>25.15</v>
      </c>
      <c r="M155" s="116">
        <v>117.15</v>
      </c>
      <c r="N155" s="141"/>
      <c r="O155" s="89">
        <f>(J155+L155)*4+K155*9</f>
        <v>117.15</v>
      </c>
    </row>
    <row r="156" spans="2:15" ht="13.5">
      <c r="B156" s="121"/>
      <c r="C156" s="178"/>
      <c r="D156" s="121"/>
      <c r="E156" s="121"/>
      <c r="F156" s="119"/>
      <c r="G156" s="119"/>
      <c r="H156" s="119"/>
      <c r="I156" s="109"/>
      <c r="J156" s="109"/>
      <c r="K156" s="109"/>
      <c r="L156" s="109"/>
      <c r="M156" s="116"/>
      <c r="N156" s="141"/>
      <c r="O156" s="89">
        <f>(J156+L156)*4+K156*9</f>
        <v>0</v>
      </c>
    </row>
    <row r="157" spans="2:15" ht="13.5">
      <c r="B157" s="121">
        <v>4</v>
      </c>
      <c r="C157" s="178" t="s">
        <v>137</v>
      </c>
      <c r="D157" s="121">
        <v>200</v>
      </c>
      <c r="E157" s="121" t="s">
        <v>14</v>
      </c>
      <c r="F157" s="119">
        <v>1</v>
      </c>
      <c r="G157" s="119">
        <v>1</v>
      </c>
      <c r="H157" s="119">
        <f>R58</f>
        <v>514</v>
      </c>
      <c r="I157" s="109">
        <f t="shared" si="10"/>
        <v>0.51</v>
      </c>
      <c r="J157" s="151"/>
      <c r="K157" s="151"/>
      <c r="L157" s="151"/>
      <c r="M157" s="152"/>
      <c r="N157" s="141"/>
      <c r="O157" s="89"/>
    </row>
    <row r="158" spans="2:15" ht="13.5">
      <c r="B158" s="121"/>
      <c r="C158" s="178"/>
      <c r="D158" s="121"/>
      <c r="E158" s="121" t="s">
        <v>10</v>
      </c>
      <c r="F158" s="119">
        <v>85</v>
      </c>
      <c r="G158" s="119">
        <v>85</v>
      </c>
      <c r="H158" s="119">
        <f>R10</f>
        <v>68</v>
      </c>
      <c r="I158" s="109">
        <f t="shared" si="10"/>
        <v>5.78</v>
      </c>
      <c r="J158" s="151"/>
      <c r="K158" s="151"/>
      <c r="L158" s="151"/>
      <c r="M158" s="152"/>
      <c r="N158" s="141"/>
      <c r="O158" s="89"/>
    </row>
    <row r="159" spans="2:16" ht="13.5">
      <c r="B159" s="121"/>
      <c r="C159" s="178"/>
      <c r="D159" s="121"/>
      <c r="E159" s="121" t="s">
        <v>2</v>
      </c>
      <c r="F159" s="119">
        <v>13</v>
      </c>
      <c r="G159" s="119">
        <v>13</v>
      </c>
      <c r="H159" s="119">
        <f>R50</f>
        <v>94</v>
      </c>
      <c r="I159" s="109">
        <f t="shared" si="10"/>
        <v>1.22</v>
      </c>
      <c r="J159" s="151">
        <v>3.12</v>
      </c>
      <c r="K159" s="151">
        <v>3.24</v>
      </c>
      <c r="L159" s="151">
        <v>17.7</v>
      </c>
      <c r="M159" s="152">
        <v>112.44</v>
      </c>
      <c r="N159" s="141">
        <v>1011</v>
      </c>
      <c r="O159" s="89">
        <f>(J159+L159)*4+K159*9</f>
        <v>112.44</v>
      </c>
      <c r="P159" s="36"/>
    </row>
    <row r="160" spans="2:15" ht="13.5">
      <c r="B160" s="121">
        <v>5</v>
      </c>
      <c r="C160" s="178" t="s">
        <v>143</v>
      </c>
      <c r="D160" s="121">
        <v>100</v>
      </c>
      <c r="E160" s="121" t="s">
        <v>144</v>
      </c>
      <c r="F160" s="119">
        <v>100</v>
      </c>
      <c r="G160" s="119"/>
      <c r="H160" s="119">
        <f>R26</f>
        <v>116</v>
      </c>
      <c r="I160" s="109">
        <f t="shared" si="10"/>
        <v>11.6</v>
      </c>
      <c r="J160" s="151">
        <v>0.4</v>
      </c>
      <c r="K160" s="151">
        <v>0.4</v>
      </c>
      <c r="L160" s="151">
        <v>9.8</v>
      </c>
      <c r="M160" s="152">
        <v>44.4</v>
      </c>
      <c r="N160" s="141"/>
      <c r="O160" s="89">
        <f>(J160+L160)*4+K160*9</f>
        <v>44.4</v>
      </c>
    </row>
    <row r="161" spans="2:15" ht="13.5">
      <c r="B161" s="121"/>
      <c r="C161" s="178"/>
      <c r="D161" s="121"/>
      <c r="E161" s="121" t="s">
        <v>128</v>
      </c>
      <c r="F161" s="119">
        <v>5</v>
      </c>
      <c r="G161" s="119">
        <v>5</v>
      </c>
      <c r="H161" s="119">
        <f>R54</f>
        <v>23</v>
      </c>
      <c r="I161" s="109">
        <f t="shared" si="10"/>
        <v>0.12</v>
      </c>
      <c r="J161" s="109"/>
      <c r="K161" s="109"/>
      <c r="L161" s="109"/>
      <c r="M161" s="116"/>
      <c r="N161" s="141"/>
      <c r="O161" s="89"/>
    </row>
    <row r="162" spans="2:15" ht="13.5">
      <c r="B162" s="119"/>
      <c r="C162" s="226" t="s">
        <v>202</v>
      </c>
      <c r="D162" s="154">
        <f>SUM(D144:D161)</f>
        <v>630</v>
      </c>
      <c r="E162" s="119"/>
      <c r="F162" s="119"/>
      <c r="G162" s="119"/>
      <c r="H162" s="119"/>
      <c r="I162" s="163">
        <f>SUM(I144:I161)</f>
        <v>65.07</v>
      </c>
      <c r="J162" s="163">
        <f>SUM(J144:J161)</f>
        <v>21.57</v>
      </c>
      <c r="K162" s="163">
        <f>SUM(K144:K161)</f>
        <v>17.07</v>
      </c>
      <c r="L162" s="163">
        <f>SUM(L144:L161)</f>
        <v>84.9</v>
      </c>
      <c r="M162" s="163">
        <f>SUM(M144:M161)</f>
        <v>579.51</v>
      </c>
      <c r="N162" s="156"/>
      <c r="O162" s="89">
        <f>(J162+L162)*4+K162*9</f>
        <v>579.51</v>
      </c>
    </row>
    <row r="163" spans="2:15" ht="13.5">
      <c r="B163" s="119"/>
      <c r="C163" s="157" t="s">
        <v>155</v>
      </c>
      <c r="D163" s="111"/>
      <c r="E163" s="112"/>
      <c r="F163" s="119"/>
      <c r="G163" s="119"/>
      <c r="H163" s="119"/>
      <c r="I163" s="109"/>
      <c r="J163" s="109"/>
      <c r="K163" s="109"/>
      <c r="L163" s="109"/>
      <c r="M163" s="116"/>
      <c r="N163" s="141"/>
      <c r="O163" s="89"/>
    </row>
    <row r="164" spans="2:15" ht="13.5">
      <c r="B164" s="145">
        <v>1</v>
      </c>
      <c r="C164" s="110" t="s">
        <v>167</v>
      </c>
      <c r="D164" s="145">
        <v>200</v>
      </c>
      <c r="E164" s="119" t="s">
        <v>7</v>
      </c>
      <c r="F164" s="119">
        <v>58</v>
      </c>
      <c r="G164" s="119">
        <v>40</v>
      </c>
      <c r="H164" s="119">
        <f>R16</f>
        <v>58</v>
      </c>
      <c r="I164" s="109">
        <f aca="true" t="shared" si="11" ref="I164:I170">F164*H164/1000</f>
        <v>3.36</v>
      </c>
      <c r="J164" s="109"/>
      <c r="K164" s="109"/>
      <c r="L164" s="109"/>
      <c r="M164" s="116"/>
      <c r="N164" s="141"/>
      <c r="O164" s="89"/>
    </row>
    <row r="165" spans="2:15" ht="13.5">
      <c r="B165" s="145"/>
      <c r="C165" s="112"/>
      <c r="D165" s="145"/>
      <c r="E165" s="119" t="s">
        <v>21</v>
      </c>
      <c r="F165" s="119">
        <v>23</v>
      </c>
      <c r="G165" s="119">
        <v>22</v>
      </c>
      <c r="H165" s="119">
        <f>R46</f>
        <v>61</v>
      </c>
      <c r="I165" s="109">
        <f t="shared" si="11"/>
        <v>1.4</v>
      </c>
      <c r="J165" s="109"/>
      <c r="K165" s="109"/>
      <c r="L165" s="109"/>
      <c r="M165" s="116"/>
      <c r="N165" s="141"/>
      <c r="O165" s="89"/>
    </row>
    <row r="166" spans="2:15" ht="13.5">
      <c r="B166" s="145"/>
      <c r="C166" s="112"/>
      <c r="D166" s="145"/>
      <c r="E166" s="119" t="s">
        <v>6</v>
      </c>
      <c r="F166" s="119">
        <v>10</v>
      </c>
      <c r="G166" s="119">
        <v>8</v>
      </c>
      <c r="H166" s="119">
        <f>R19</f>
        <v>49</v>
      </c>
      <c r="I166" s="109">
        <f t="shared" si="11"/>
        <v>0.49</v>
      </c>
      <c r="J166" s="109"/>
      <c r="K166" s="109"/>
      <c r="L166" s="109"/>
      <c r="M166" s="116"/>
      <c r="N166" s="141"/>
      <c r="O166" s="89"/>
    </row>
    <row r="167" spans="2:15" ht="13.5">
      <c r="B167" s="145"/>
      <c r="C167" s="112"/>
      <c r="D167" s="145"/>
      <c r="E167" s="119" t="s">
        <v>8</v>
      </c>
      <c r="F167" s="119">
        <v>11</v>
      </c>
      <c r="G167" s="119">
        <v>8</v>
      </c>
      <c r="H167" s="119">
        <f>R20</f>
        <v>67</v>
      </c>
      <c r="I167" s="109">
        <f t="shared" si="11"/>
        <v>0.74</v>
      </c>
      <c r="J167" s="109"/>
      <c r="K167" s="109"/>
      <c r="L167" s="109"/>
      <c r="M167" s="116"/>
      <c r="N167" s="141"/>
      <c r="O167" s="89"/>
    </row>
    <row r="168" spans="2:15" ht="13.5">
      <c r="B168" s="145"/>
      <c r="C168" s="112"/>
      <c r="D168" s="145"/>
      <c r="E168" s="119" t="s">
        <v>26</v>
      </c>
      <c r="F168" s="119">
        <v>5</v>
      </c>
      <c r="G168" s="119">
        <v>5</v>
      </c>
      <c r="H168" s="119">
        <f>R34</f>
        <v>147</v>
      </c>
      <c r="I168" s="109">
        <f t="shared" si="11"/>
        <v>0.74</v>
      </c>
      <c r="J168" s="109">
        <v>4.96</v>
      </c>
      <c r="K168" s="109">
        <v>4.41</v>
      </c>
      <c r="L168" s="109">
        <v>16.44</v>
      </c>
      <c r="M168" s="116">
        <v>125.29</v>
      </c>
      <c r="N168" s="141">
        <v>221</v>
      </c>
      <c r="O168" s="89">
        <f>(J168+L168)*4+K168*9</f>
        <v>125.29</v>
      </c>
    </row>
    <row r="169" spans="2:18" ht="13.5">
      <c r="B169" s="198">
        <v>2</v>
      </c>
      <c r="C169" s="178" t="s">
        <v>168</v>
      </c>
      <c r="D169" s="121">
        <v>130</v>
      </c>
      <c r="E169" s="121" t="s">
        <v>77</v>
      </c>
      <c r="F169" s="119">
        <v>126</v>
      </c>
      <c r="G169" s="119">
        <v>117</v>
      </c>
      <c r="H169" s="119">
        <f>R35</f>
        <v>205</v>
      </c>
      <c r="I169" s="109">
        <f t="shared" si="11"/>
        <v>25.83</v>
      </c>
      <c r="J169" s="109"/>
      <c r="K169" s="109"/>
      <c r="L169" s="109"/>
      <c r="M169" s="116"/>
      <c r="N169" s="141"/>
      <c r="O169" s="89"/>
      <c r="P169" s="7"/>
      <c r="Q169" s="8"/>
      <c r="R169" s="8"/>
    </row>
    <row r="170" spans="2:18" ht="13.5">
      <c r="B170" s="198"/>
      <c r="C170" s="121"/>
      <c r="D170" s="121"/>
      <c r="E170" s="121" t="s">
        <v>73</v>
      </c>
      <c r="F170" s="119">
        <v>7</v>
      </c>
      <c r="G170" s="119">
        <v>7</v>
      </c>
      <c r="H170" s="119">
        <f>R37</f>
        <v>48</v>
      </c>
      <c r="I170" s="109">
        <f t="shared" si="11"/>
        <v>0.34</v>
      </c>
      <c r="J170" s="109"/>
      <c r="K170" s="109"/>
      <c r="L170" s="109"/>
      <c r="M170" s="116"/>
      <c r="N170" s="141"/>
      <c r="O170" s="89"/>
      <c r="P170" s="7"/>
      <c r="Q170" s="8"/>
      <c r="R170" s="8"/>
    </row>
    <row r="171" spans="2:18" ht="13.5">
      <c r="B171" s="198"/>
      <c r="C171" s="121"/>
      <c r="D171" s="121"/>
      <c r="E171" s="121" t="s">
        <v>26</v>
      </c>
      <c r="F171" s="119">
        <v>9</v>
      </c>
      <c r="G171" s="119">
        <v>9</v>
      </c>
      <c r="H171" s="121">
        <f>R34</f>
        <v>147</v>
      </c>
      <c r="I171" s="109">
        <f>H171*F171/1000</f>
        <v>1.32</v>
      </c>
      <c r="J171" s="109">
        <v>10.89</v>
      </c>
      <c r="K171" s="109">
        <v>5.96</v>
      </c>
      <c r="L171" s="109">
        <v>7.77</v>
      </c>
      <c r="M171" s="116">
        <v>128.28</v>
      </c>
      <c r="N171" s="141">
        <v>519</v>
      </c>
      <c r="O171" s="89">
        <f>(J171+L171)*4+K171*9</f>
        <v>128.28</v>
      </c>
      <c r="P171" s="7"/>
      <c r="Q171" s="8"/>
      <c r="R171" s="8"/>
    </row>
    <row r="172" spans="2:18" ht="13.5">
      <c r="B172" s="198"/>
      <c r="C172" s="121"/>
      <c r="D172" s="121"/>
      <c r="E172" s="121" t="s">
        <v>27</v>
      </c>
      <c r="F172" s="119">
        <v>2</v>
      </c>
      <c r="G172" s="119">
        <v>2</v>
      </c>
      <c r="H172" s="148">
        <f>R11</f>
        <v>481</v>
      </c>
      <c r="I172" s="109">
        <f>H172*F172/1000</f>
        <v>0.96</v>
      </c>
      <c r="J172" s="109"/>
      <c r="K172" s="109"/>
      <c r="L172" s="109"/>
      <c r="M172" s="116"/>
      <c r="N172" s="141"/>
      <c r="O172" s="89"/>
      <c r="P172" s="7"/>
      <c r="Q172" s="8"/>
      <c r="R172" s="8"/>
    </row>
    <row r="173" spans="2:18" ht="13.5">
      <c r="B173" s="198"/>
      <c r="C173" s="121"/>
      <c r="D173" s="121"/>
      <c r="E173" s="121" t="s">
        <v>73</v>
      </c>
      <c r="F173" s="119">
        <v>2</v>
      </c>
      <c r="G173" s="119">
        <v>2</v>
      </c>
      <c r="H173" s="121">
        <f>R37</f>
        <v>48</v>
      </c>
      <c r="I173" s="109">
        <f>H173*F173/1000</f>
        <v>0.1</v>
      </c>
      <c r="J173" s="109"/>
      <c r="K173" s="109"/>
      <c r="L173" s="109"/>
      <c r="M173" s="116"/>
      <c r="N173" s="141"/>
      <c r="O173" s="89"/>
      <c r="P173" s="7"/>
      <c r="Q173" s="8"/>
      <c r="R173" s="8"/>
    </row>
    <row r="174" spans="2:18" ht="13.5">
      <c r="B174" s="198"/>
      <c r="C174" s="178"/>
      <c r="D174" s="121"/>
      <c r="E174" s="121" t="s">
        <v>18</v>
      </c>
      <c r="F174" s="119">
        <v>2</v>
      </c>
      <c r="G174" s="119">
        <v>2</v>
      </c>
      <c r="H174" s="121">
        <f>R25</f>
        <v>124</v>
      </c>
      <c r="I174" s="109">
        <f>H174*F174/1000</f>
        <v>0.25</v>
      </c>
      <c r="J174" s="109"/>
      <c r="K174" s="109"/>
      <c r="L174" s="109"/>
      <c r="M174" s="116"/>
      <c r="N174" s="141"/>
      <c r="O174" s="89"/>
      <c r="P174" s="7"/>
      <c r="Q174" s="8"/>
      <c r="R174" s="8"/>
    </row>
    <row r="175" spans="2:15" ht="13.5">
      <c r="B175" s="119"/>
      <c r="C175" s="110"/>
      <c r="D175" s="119"/>
      <c r="E175" s="112" t="s">
        <v>8</v>
      </c>
      <c r="F175" s="119">
        <v>5</v>
      </c>
      <c r="G175" s="119">
        <v>3</v>
      </c>
      <c r="H175" s="119">
        <f>R20</f>
        <v>67</v>
      </c>
      <c r="I175" s="109">
        <f aca="true" t="shared" si="12" ref="I175:I186">F175*H175/1000</f>
        <v>0.34</v>
      </c>
      <c r="J175" s="109"/>
      <c r="K175" s="109"/>
      <c r="L175" s="109"/>
      <c r="M175" s="116"/>
      <c r="N175" s="141"/>
      <c r="O175" s="89"/>
    </row>
    <row r="176" spans="2:15" ht="13.5">
      <c r="B176" s="119"/>
      <c r="C176" s="110"/>
      <c r="D176" s="119"/>
      <c r="E176" s="112" t="s">
        <v>6</v>
      </c>
      <c r="F176" s="119">
        <v>4</v>
      </c>
      <c r="G176" s="119">
        <v>2</v>
      </c>
      <c r="H176" s="119">
        <f>R19</f>
        <v>49</v>
      </c>
      <c r="I176" s="109">
        <f t="shared" si="12"/>
        <v>0.2</v>
      </c>
      <c r="J176" s="109">
        <v>0.48</v>
      </c>
      <c r="K176" s="109">
        <v>2.93</v>
      </c>
      <c r="L176" s="109">
        <v>2.82</v>
      </c>
      <c r="M176" s="116">
        <v>39.57</v>
      </c>
      <c r="N176" s="141">
        <v>824</v>
      </c>
      <c r="O176" s="89">
        <f>(J176+L176)*4+K176*9</f>
        <v>39.57</v>
      </c>
    </row>
    <row r="177" spans="2:15" ht="13.5">
      <c r="B177" s="119">
        <v>3</v>
      </c>
      <c r="C177" s="110" t="s">
        <v>90</v>
      </c>
      <c r="D177" s="119">
        <v>150</v>
      </c>
      <c r="E177" s="112" t="s">
        <v>7</v>
      </c>
      <c r="F177" s="119">
        <v>184</v>
      </c>
      <c r="G177" s="119">
        <v>140</v>
      </c>
      <c r="H177" s="119">
        <f>R16</f>
        <v>58</v>
      </c>
      <c r="I177" s="109">
        <f t="shared" si="12"/>
        <v>10.67</v>
      </c>
      <c r="J177" s="109"/>
      <c r="K177" s="109"/>
      <c r="L177" s="109"/>
      <c r="M177" s="116"/>
      <c r="N177" s="141"/>
      <c r="O177" s="89"/>
    </row>
    <row r="178" spans="2:15" ht="13.5">
      <c r="B178" s="119"/>
      <c r="C178" s="110"/>
      <c r="D178" s="119"/>
      <c r="E178" s="112" t="s">
        <v>10</v>
      </c>
      <c r="F178" s="119">
        <v>30</v>
      </c>
      <c r="G178" s="119">
        <v>30</v>
      </c>
      <c r="H178" s="119">
        <f>R10</f>
        <v>68</v>
      </c>
      <c r="I178" s="109">
        <f t="shared" si="12"/>
        <v>2.04</v>
      </c>
      <c r="J178" s="109">
        <v>2.74</v>
      </c>
      <c r="K178" s="109">
        <v>5.18</v>
      </c>
      <c r="L178" s="109">
        <v>4.54</v>
      </c>
      <c r="M178" s="116">
        <v>75.74</v>
      </c>
      <c r="N178" s="141"/>
      <c r="O178" s="89">
        <f>(J178+L178)*4+K178*9</f>
        <v>75.74</v>
      </c>
    </row>
    <row r="179" spans="2:15" ht="13.5">
      <c r="B179" s="119"/>
      <c r="C179" s="110"/>
      <c r="D179" s="119"/>
      <c r="E179" s="112" t="s">
        <v>27</v>
      </c>
      <c r="F179" s="119">
        <v>5</v>
      </c>
      <c r="G179" s="119">
        <v>5</v>
      </c>
      <c r="H179" s="119">
        <f>R11</f>
        <v>481</v>
      </c>
      <c r="I179" s="109">
        <f t="shared" si="12"/>
        <v>2.41</v>
      </c>
      <c r="J179" s="109">
        <v>3.44</v>
      </c>
      <c r="K179" s="109">
        <v>5.51</v>
      </c>
      <c r="L179" s="109">
        <v>22.31</v>
      </c>
      <c r="M179" s="116">
        <v>152.59</v>
      </c>
      <c r="N179" s="141">
        <v>759</v>
      </c>
      <c r="O179" s="89">
        <f>(J179+L179)*4+K179*9</f>
        <v>152.59</v>
      </c>
    </row>
    <row r="180" spans="2:15" ht="13.5">
      <c r="B180" s="119">
        <v>4</v>
      </c>
      <c r="C180" s="110" t="s">
        <v>34</v>
      </c>
      <c r="D180" s="145">
        <v>50</v>
      </c>
      <c r="E180" s="119" t="s">
        <v>19</v>
      </c>
      <c r="F180" s="121">
        <v>50</v>
      </c>
      <c r="G180" s="121">
        <v>50</v>
      </c>
      <c r="H180" s="119">
        <f>R60</f>
        <v>48</v>
      </c>
      <c r="I180" s="109">
        <f t="shared" si="12"/>
        <v>2.4</v>
      </c>
      <c r="J180" s="109">
        <v>3.35</v>
      </c>
      <c r="K180" s="109">
        <v>0.35</v>
      </c>
      <c r="L180" s="109">
        <v>25.15</v>
      </c>
      <c r="M180" s="116">
        <v>117.15</v>
      </c>
      <c r="N180" s="141"/>
      <c r="O180" s="89">
        <f>(J180+L180)*4+K180*9</f>
        <v>117.15</v>
      </c>
    </row>
    <row r="181" spans="2:15" ht="13.5">
      <c r="B181" s="119">
        <v>5</v>
      </c>
      <c r="C181" s="190" t="s">
        <v>25</v>
      </c>
      <c r="D181" s="119">
        <v>200</v>
      </c>
      <c r="E181" s="119" t="s">
        <v>20</v>
      </c>
      <c r="F181" s="119">
        <v>15</v>
      </c>
      <c r="G181" s="119">
        <v>15</v>
      </c>
      <c r="H181" s="121">
        <f>R30</f>
        <v>149</v>
      </c>
      <c r="I181" s="109">
        <f t="shared" si="12"/>
        <v>2.24</v>
      </c>
      <c r="J181" s="109"/>
      <c r="K181" s="109"/>
      <c r="L181" s="109"/>
      <c r="M181" s="116"/>
      <c r="N181" s="141"/>
      <c r="O181" s="89"/>
    </row>
    <row r="182" spans="2:15" ht="13.5">
      <c r="B182" s="119"/>
      <c r="C182" s="119"/>
      <c r="D182" s="119"/>
      <c r="E182" s="119" t="s">
        <v>2</v>
      </c>
      <c r="F182" s="119">
        <v>13</v>
      </c>
      <c r="G182" s="119">
        <v>13</v>
      </c>
      <c r="H182" s="121">
        <f>R50</f>
        <v>94</v>
      </c>
      <c r="I182" s="109">
        <f t="shared" si="12"/>
        <v>1.22</v>
      </c>
      <c r="J182" s="151">
        <v>3.12</v>
      </c>
      <c r="K182" s="151">
        <v>3.24</v>
      </c>
      <c r="L182" s="151">
        <v>17.7</v>
      </c>
      <c r="M182" s="152">
        <v>112.44</v>
      </c>
      <c r="N182" s="141">
        <v>933</v>
      </c>
      <c r="O182" s="89">
        <f>(J182+L182)*4+K182*9</f>
        <v>112.44</v>
      </c>
    </row>
    <row r="183" spans="2:15" ht="13.5">
      <c r="B183" s="119"/>
      <c r="C183" s="119"/>
      <c r="D183" s="145"/>
      <c r="E183" s="119" t="s">
        <v>103</v>
      </c>
      <c r="F183" s="121">
        <v>0.0005</v>
      </c>
      <c r="G183" s="121">
        <v>0.0005</v>
      </c>
      <c r="H183" s="121"/>
      <c r="I183" s="109"/>
      <c r="J183" s="109"/>
      <c r="K183" s="109"/>
      <c r="L183" s="109"/>
      <c r="M183" s="116"/>
      <c r="N183" s="141"/>
      <c r="O183" s="89"/>
    </row>
    <row r="184" spans="2:15" ht="13.5">
      <c r="B184" s="119">
        <v>6</v>
      </c>
      <c r="C184" s="178" t="s">
        <v>181</v>
      </c>
      <c r="D184" s="145">
        <v>50</v>
      </c>
      <c r="E184" s="119" t="s">
        <v>156</v>
      </c>
      <c r="F184" s="119">
        <v>50</v>
      </c>
      <c r="G184" s="119">
        <v>50</v>
      </c>
      <c r="H184" s="121">
        <f>R62</f>
        <v>159</v>
      </c>
      <c r="I184" s="109">
        <f t="shared" si="12"/>
        <v>7.95</v>
      </c>
      <c r="J184" s="109">
        <v>2.7</v>
      </c>
      <c r="K184" s="109">
        <v>8.4</v>
      </c>
      <c r="L184" s="109">
        <v>32.84</v>
      </c>
      <c r="M184" s="116">
        <v>217.76</v>
      </c>
      <c r="N184" s="141"/>
      <c r="O184" s="89">
        <f>(J184+L184)*4+K184*9</f>
        <v>217.76</v>
      </c>
    </row>
    <row r="185" spans="2:15" ht="13.5">
      <c r="B185" s="119"/>
      <c r="C185" s="110"/>
      <c r="D185" s="145"/>
      <c r="E185" s="119" t="s">
        <v>128</v>
      </c>
      <c r="F185" s="119">
        <v>2.5</v>
      </c>
      <c r="G185" s="119">
        <v>2.5</v>
      </c>
      <c r="H185" s="119">
        <f>R54</f>
        <v>23</v>
      </c>
      <c r="I185" s="109">
        <f t="shared" si="12"/>
        <v>0.06</v>
      </c>
      <c r="J185" s="109"/>
      <c r="K185" s="109"/>
      <c r="L185" s="109"/>
      <c r="M185" s="116"/>
      <c r="N185" s="141"/>
      <c r="O185" s="89"/>
    </row>
    <row r="186" spans="2:15" ht="13.5">
      <c r="B186" s="119"/>
      <c r="C186" s="110"/>
      <c r="D186" s="119"/>
      <c r="E186" s="119" t="s">
        <v>93</v>
      </c>
      <c r="F186" s="119">
        <v>0.02</v>
      </c>
      <c r="G186" s="119">
        <v>0.02</v>
      </c>
      <c r="H186" s="119">
        <f>R59</f>
        <v>508</v>
      </c>
      <c r="I186" s="109">
        <f t="shared" si="12"/>
        <v>0.01</v>
      </c>
      <c r="J186" s="109"/>
      <c r="K186" s="109"/>
      <c r="L186" s="109"/>
      <c r="M186" s="116"/>
      <c r="N186" s="141"/>
      <c r="O186" s="89"/>
    </row>
    <row r="187" spans="2:15" ht="13.5">
      <c r="B187" s="119"/>
      <c r="C187" s="226" t="s">
        <v>203</v>
      </c>
      <c r="D187" s="162">
        <f>SUM(D164:D186)</f>
        <v>780</v>
      </c>
      <c r="E187" s="119"/>
      <c r="F187" s="119"/>
      <c r="G187" s="119"/>
      <c r="H187" s="121"/>
      <c r="I187" s="163">
        <f>SUM(I164:I186)</f>
        <v>65.07</v>
      </c>
      <c r="J187" s="163">
        <f>SUM(J164:J186)</f>
        <v>31.68</v>
      </c>
      <c r="K187" s="163">
        <f>SUM(K164:K186)</f>
        <v>35.98</v>
      </c>
      <c r="L187" s="163">
        <f>SUM(L164:L186)</f>
        <v>129.57</v>
      </c>
      <c r="M187" s="163">
        <f>SUM(M164:M186)</f>
        <v>968.82</v>
      </c>
      <c r="N187" s="156"/>
      <c r="O187" s="89">
        <f>(J187+L187)*4+K187*9</f>
        <v>968.82</v>
      </c>
    </row>
    <row r="188" spans="2:15" ht="13.5">
      <c r="B188" s="268" t="s">
        <v>204</v>
      </c>
      <c r="C188" s="268"/>
      <c r="D188" s="268"/>
      <c r="E188" s="268"/>
      <c r="F188" s="268"/>
      <c r="G188" s="268"/>
      <c r="H188" s="268"/>
      <c r="I188" s="268"/>
      <c r="J188" s="163">
        <f>SUM(J162+J187)</f>
        <v>53.25</v>
      </c>
      <c r="K188" s="163">
        <f>SUM(K162+K187)</f>
        <v>53.05</v>
      </c>
      <c r="L188" s="163">
        <f>SUM(L162+L187)</f>
        <v>214.47</v>
      </c>
      <c r="M188" s="163">
        <f>SUM(M162+M187)</f>
        <v>1548.33</v>
      </c>
      <c r="N188" s="156"/>
      <c r="O188" s="89">
        <f>(J188+L188)*4+K188*9</f>
        <v>1548.33</v>
      </c>
    </row>
    <row r="189" spans="3:15" ht="13.5">
      <c r="C189" s="188"/>
      <c r="D189" s="173"/>
      <c r="E189" s="173"/>
      <c r="J189" s="199"/>
      <c r="K189" s="199"/>
      <c r="L189" s="199"/>
      <c r="M189" s="200"/>
      <c r="N189" s="134"/>
      <c r="O189" s="89"/>
    </row>
    <row r="190" spans="3:15" ht="13.5">
      <c r="C190" s="188"/>
      <c r="D190" s="173"/>
      <c r="E190" s="173"/>
      <c r="J190" s="199"/>
      <c r="K190" s="199"/>
      <c r="L190" s="199"/>
      <c r="M190" s="200"/>
      <c r="N190" s="134"/>
      <c r="O190" s="89"/>
    </row>
    <row r="191" spans="3:15" ht="13.5">
      <c r="C191" s="188" t="s">
        <v>67</v>
      </c>
      <c r="O191" s="89"/>
    </row>
    <row r="192" spans="2:15" ht="27">
      <c r="B192" s="265" t="s">
        <v>3</v>
      </c>
      <c r="C192" s="201"/>
      <c r="D192" s="175" t="s">
        <v>4</v>
      </c>
      <c r="E192" s="265" t="s">
        <v>28</v>
      </c>
      <c r="F192" s="136" t="s">
        <v>12</v>
      </c>
      <c r="G192" s="136" t="s">
        <v>56</v>
      </c>
      <c r="H192" s="136" t="s">
        <v>29</v>
      </c>
      <c r="I192" s="136" t="s">
        <v>30</v>
      </c>
      <c r="J192" s="262" t="s">
        <v>69</v>
      </c>
      <c r="K192" s="262" t="s">
        <v>70</v>
      </c>
      <c r="L192" s="262" t="s">
        <v>71</v>
      </c>
      <c r="M192" s="257" t="s">
        <v>72</v>
      </c>
      <c r="N192" s="261" t="s">
        <v>161</v>
      </c>
      <c r="O192" s="89"/>
    </row>
    <row r="193" spans="2:15" ht="13.5">
      <c r="B193" s="266"/>
      <c r="C193" s="138" t="s">
        <v>154</v>
      </c>
      <c r="D193" s="111" t="s">
        <v>31</v>
      </c>
      <c r="E193" s="260"/>
      <c r="F193" s="119" t="s">
        <v>31</v>
      </c>
      <c r="G193" s="119" t="s">
        <v>31</v>
      </c>
      <c r="H193" s="119" t="s">
        <v>32</v>
      </c>
      <c r="I193" s="119" t="s">
        <v>33</v>
      </c>
      <c r="J193" s="267"/>
      <c r="K193" s="267"/>
      <c r="L193" s="267"/>
      <c r="M193" s="258"/>
      <c r="N193" s="260"/>
      <c r="O193" s="89"/>
    </row>
    <row r="194" spans="2:15" ht="13.5">
      <c r="B194" s="145">
        <v>1</v>
      </c>
      <c r="C194" s="202" t="s">
        <v>195</v>
      </c>
      <c r="D194" s="119">
        <v>40</v>
      </c>
      <c r="E194" s="119" t="s">
        <v>11</v>
      </c>
      <c r="F194" s="119">
        <v>1</v>
      </c>
      <c r="G194" s="119">
        <v>40</v>
      </c>
      <c r="H194" s="109">
        <f>R5</f>
        <v>9.5</v>
      </c>
      <c r="I194" s="109">
        <f>F194*H194</f>
        <v>9.5</v>
      </c>
      <c r="J194" s="113">
        <v>5.08</v>
      </c>
      <c r="K194" s="113">
        <v>4.6</v>
      </c>
      <c r="L194" s="113">
        <v>0.28</v>
      </c>
      <c r="M194" s="113">
        <v>62.84</v>
      </c>
      <c r="N194" s="176">
        <v>213</v>
      </c>
      <c r="O194" s="89">
        <f>(J194+L194)*4+K194*9</f>
        <v>62.84</v>
      </c>
    </row>
    <row r="195" spans="2:15" ht="13.5">
      <c r="B195" s="145">
        <v>2</v>
      </c>
      <c r="C195" s="110" t="s">
        <v>186</v>
      </c>
      <c r="D195" s="145">
        <v>100</v>
      </c>
      <c r="E195" s="119" t="s">
        <v>187</v>
      </c>
      <c r="F195" s="119">
        <v>100</v>
      </c>
      <c r="G195" s="119">
        <v>100</v>
      </c>
      <c r="H195" s="119">
        <f>R23</f>
        <v>111</v>
      </c>
      <c r="I195" s="109">
        <f aca="true" t="shared" si="13" ref="I195:I205">F195*H195/1000</f>
        <v>11.1</v>
      </c>
      <c r="J195" s="109">
        <v>0.92</v>
      </c>
      <c r="K195" s="109">
        <v>4.72</v>
      </c>
      <c r="L195" s="109">
        <v>5.92</v>
      </c>
      <c r="M195" s="109">
        <v>69.84</v>
      </c>
      <c r="N195" s="123"/>
      <c r="O195" s="89">
        <f>(J195+L195)*4+K195*9</f>
        <v>69.84</v>
      </c>
    </row>
    <row r="196" spans="2:15" ht="13.5">
      <c r="B196" s="145">
        <v>3</v>
      </c>
      <c r="C196" s="202" t="s">
        <v>196</v>
      </c>
      <c r="D196" s="120">
        <v>150</v>
      </c>
      <c r="E196" s="191" t="s">
        <v>73</v>
      </c>
      <c r="F196" s="121">
        <v>45</v>
      </c>
      <c r="G196" s="122">
        <v>45</v>
      </c>
      <c r="H196" s="119">
        <f>R37</f>
        <v>48</v>
      </c>
      <c r="I196" s="109">
        <f t="shared" si="13"/>
        <v>2.16</v>
      </c>
      <c r="J196" s="109"/>
      <c r="K196" s="109"/>
      <c r="L196" s="109"/>
      <c r="M196" s="109"/>
      <c r="N196" s="141"/>
      <c r="O196" s="89"/>
    </row>
    <row r="197" spans="2:15" ht="13.5">
      <c r="B197" s="145"/>
      <c r="C197" s="182"/>
      <c r="D197" s="120"/>
      <c r="E197" s="191" t="s">
        <v>197</v>
      </c>
      <c r="F197" s="121">
        <v>3</v>
      </c>
      <c r="G197" s="122">
        <v>3</v>
      </c>
      <c r="H197" s="119">
        <f>R50</f>
        <v>94</v>
      </c>
      <c r="I197" s="109">
        <f t="shared" si="13"/>
        <v>0.28</v>
      </c>
      <c r="J197" s="109"/>
      <c r="K197" s="109"/>
      <c r="L197" s="109"/>
      <c r="M197" s="109"/>
      <c r="N197" s="141"/>
      <c r="O197" s="89"/>
    </row>
    <row r="198" spans="2:15" ht="13.5">
      <c r="B198" s="145"/>
      <c r="C198" s="182"/>
      <c r="D198" s="120"/>
      <c r="E198" s="191" t="s">
        <v>26</v>
      </c>
      <c r="F198" s="121">
        <v>4</v>
      </c>
      <c r="G198" s="122">
        <v>4</v>
      </c>
      <c r="H198" s="119">
        <f>R34</f>
        <v>147</v>
      </c>
      <c r="I198" s="109">
        <f t="shared" si="13"/>
        <v>0.59</v>
      </c>
      <c r="J198" s="109"/>
      <c r="K198" s="109"/>
      <c r="L198" s="109"/>
      <c r="M198" s="109"/>
      <c r="N198" s="141"/>
      <c r="O198" s="89"/>
    </row>
    <row r="199" spans="2:15" ht="13.5">
      <c r="B199" s="145"/>
      <c r="C199" s="182"/>
      <c r="D199" s="120"/>
      <c r="E199" s="191" t="s">
        <v>11</v>
      </c>
      <c r="F199" s="121">
        <v>0.2</v>
      </c>
      <c r="G199" s="122">
        <v>0.2</v>
      </c>
      <c r="H199" s="109">
        <f>R5</f>
        <v>9.5</v>
      </c>
      <c r="I199" s="109">
        <f>F199*H199</f>
        <v>1.9</v>
      </c>
      <c r="J199" s="109"/>
      <c r="K199" s="109"/>
      <c r="L199" s="109"/>
      <c r="M199" s="109"/>
      <c r="N199" s="141"/>
      <c r="O199" s="89"/>
    </row>
    <row r="200" spans="2:15" ht="13.5">
      <c r="B200" s="145"/>
      <c r="C200" s="182"/>
      <c r="D200" s="120"/>
      <c r="E200" s="191" t="s">
        <v>198</v>
      </c>
      <c r="F200" s="121">
        <v>3</v>
      </c>
      <c r="G200" s="122">
        <v>3</v>
      </c>
      <c r="H200" s="119">
        <f>R53</f>
        <v>346</v>
      </c>
      <c r="I200" s="109">
        <f t="shared" si="13"/>
        <v>1.04</v>
      </c>
      <c r="J200" s="109"/>
      <c r="K200" s="109"/>
      <c r="L200" s="109"/>
      <c r="M200" s="109"/>
      <c r="N200" s="141"/>
      <c r="O200" s="89"/>
    </row>
    <row r="201" spans="2:15" ht="13.5">
      <c r="B201" s="145"/>
      <c r="C201" s="182"/>
      <c r="D201" s="120"/>
      <c r="E201" s="191" t="s">
        <v>199</v>
      </c>
      <c r="F201" s="121">
        <v>1.5</v>
      </c>
      <c r="G201" s="122">
        <v>1.5</v>
      </c>
      <c r="H201" s="119">
        <f>R54</f>
        <v>23</v>
      </c>
      <c r="I201" s="109">
        <f t="shared" si="13"/>
        <v>0.03</v>
      </c>
      <c r="J201" s="109"/>
      <c r="K201" s="109"/>
      <c r="L201" s="109"/>
      <c r="M201" s="109"/>
      <c r="N201" s="141"/>
      <c r="O201" s="89"/>
    </row>
    <row r="202" spans="2:15" ht="13.5">
      <c r="B202" s="145"/>
      <c r="C202" s="182"/>
      <c r="D202" s="120"/>
      <c r="E202" s="191" t="s">
        <v>200</v>
      </c>
      <c r="F202" s="121">
        <v>65</v>
      </c>
      <c r="G202" s="122">
        <v>65</v>
      </c>
      <c r="H202" s="119">
        <f>R8</f>
        <v>284</v>
      </c>
      <c r="I202" s="109">
        <f t="shared" si="13"/>
        <v>18.46</v>
      </c>
      <c r="J202" s="203">
        <v>18.34</v>
      </c>
      <c r="K202" s="203">
        <v>26.66</v>
      </c>
      <c r="L202" s="203">
        <v>32.93</v>
      </c>
      <c r="M202" s="203">
        <v>445.02</v>
      </c>
      <c r="N202" s="137">
        <v>1104</v>
      </c>
      <c r="O202" s="89">
        <f>(J202+L202)*4+K202*9</f>
        <v>445.02</v>
      </c>
    </row>
    <row r="203" spans="2:15" ht="13.5">
      <c r="B203" s="159">
        <v>4</v>
      </c>
      <c r="C203" s="110" t="s">
        <v>78</v>
      </c>
      <c r="D203" s="119">
        <v>200</v>
      </c>
      <c r="E203" s="119" t="s">
        <v>135</v>
      </c>
      <c r="F203" s="159">
        <v>3</v>
      </c>
      <c r="G203" s="159">
        <v>3</v>
      </c>
      <c r="H203" s="119">
        <f>R56</f>
        <v>501</v>
      </c>
      <c r="I203" s="109">
        <f t="shared" si="13"/>
        <v>1.5</v>
      </c>
      <c r="J203" s="151"/>
      <c r="K203" s="151"/>
      <c r="L203" s="151"/>
      <c r="M203" s="151"/>
      <c r="N203" s="141"/>
      <c r="O203" s="89"/>
    </row>
    <row r="204" spans="2:15" ht="13.5">
      <c r="B204" s="159"/>
      <c r="C204" s="110"/>
      <c r="D204" s="119"/>
      <c r="E204" s="119" t="s">
        <v>10</v>
      </c>
      <c r="F204" s="159">
        <v>85</v>
      </c>
      <c r="G204" s="159">
        <v>85</v>
      </c>
      <c r="H204" s="119">
        <f>R10</f>
        <v>68</v>
      </c>
      <c r="I204" s="109">
        <f t="shared" si="13"/>
        <v>5.78</v>
      </c>
      <c r="J204" s="151"/>
      <c r="K204" s="151"/>
      <c r="L204" s="151"/>
      <c r="M204" s="151"/>
      <c r="N204" s="141"/>
      <c r="O204" s="89"/>
    </row>
    <row r="205" spans="2:15" ht="13.5">
      <c r="B205" s="159"/>
      <c r="C205" s="110"/>
      <c r="D205" s="119"/>
      <c r="E205" s="119" t="s">
        <v>2</v>
      </c>
      <c r="F205" s="159">
        <v>12</v>
      </c>
      <c r="G205" s="159">
        <v>12</v>
      </c>
      <c r="H205" s="119">
        <f>R50</f>
        <v>94</v>
      </c>
      <c r="I205" s="109">
        <f t="shared" si="13"/>
        <v>1.13</v>
      </c>
      <c r="J205" s="109">
        <v>3.12</v>
      </c>
      <c r="K205" s="109">
        <v>2.66</v>
      </c>
      <c r="L205" s="109">
        <v>14.18</v>
      </c>
      <c r="M205" s="109">
        <v>93.14</v>
      </c>
      <c r="N205" s="141">
        <v>395</v>
      </c>
      <c r="O205" s="89">
        <f>(J205+L205)*4+K205*9</f>
        <v>93.14</v>
      </c>
    </row>
    <row r="206" spans="2:15" ht="13.5">
      <c r="B206" s="119">
        <v>5</v>
      </c>
      <c r="C206" s="153" t="s">
        <v>143</v>
      </c>
      <c r="D206" s="135">
        <v>100</v>
      </c>
      <c r="E206" s="119" t="s">
        <v>144</v>
      </c>
      <c r="F206" s="119">
        <v>100</v>
      </c>
      <c r="G206" s="119"/>
      <c r="H206" s="119">
        <f>R26</f>
        <v>116</v>
      </c>
      <c r="I206" s="109">
        <f>F206*H206/1000</f>
        <v>11.6</v>
      </c>
      <c r="J206" s="109">
        <v>0.4</v>
      </c>
      <c r="K206" s="109">
        <v>0.4</v>
      </c>
      <c r="L206" s="109">
        <v>9.8</v>
      </c>
      <c r="M206" s="116">
        <v>44.4</v>
      </c>
      <c r="N206" s="141"/>
      <c r="O206" s="89">
        <f>(J206+L206)*4+K206*9</f>
        <v>44.4</v>
      </c>
    </row>
    <row r="207" spans="2:15" ht="13.5">
      <c r="B207" s="153"/>
      <c r="C207" s="226" t="s">
        <v>202</v>
      </c>
      <c r="D207" s="162">
        <f>SUM(D194:D206)</f>
        <v>590</v>
      </c>
      <c r="E207" s="119"/>
      <c r="F207" s="119"/>
      <c r="G207" s="119"/>
      <c r="H207" s="119"/>
      <c r="I207" s="163">
        <f>SUM(I194:I206)</f>
        <v>65.07</v>
      </c>
      <c r="J207" s="163">
        <f>SUM(J194:J206)</f>
        <v>27.86</v>
      </c>
      <c r="K207" s="163">
        <f>SUM(K194:K206)</f>
        <v>39.04</v>
      </c>
      <c r="L207" s="163">
        <f>SUM(L194:L206)</f>
        <v>63.11</v>
      </c>
      <c r="M207" s="163">
        <f>SUM(M194:M206)</f>
        <v>715.24</v>
      </c>
      <c r="N207" s="156"/>
      <c r="O207" s="89">
        <f>(J207+L207)*4+K207*9</f>
        <v>715.24</v>
      </c>
    </row>
    <row r="208" spans="2:15" s="34" customFormat="1" ht="13.5">
      <c r="B208" s="121"/>
      <c r="C208" s="204" t="s">
        <v>155</v>
      </c>
      <c r="D208" s="179"/>
      <c r="E208" s="158"/>
      <c r="F208" s="121"/>
      <c r="G208" s="121"/>
      <c r="H208" s="121"/>
      <c r="I208" s="147"/>
      <c r="J208" s="147"/>
      <c r="K208" s="147"/>
      <c r="L208" s="147"/>
      <c r="M208" s="116"/>
      <c r="N208" s="148"/>
      <c r="O208" s="105"/>
    </row>
    <row r="209" spans="2:15" ht="13.5">
      <c r="B209" s="119">
        <v>1</v>
      </c>
      <c r="C209" s="110" t="s">
        <v>97</v>
      </c>
      <c r="D209" s="145">
        <v>200</v>
      </c>
      <c r="E209" s="119" t="s">
        <v>7</v>
      </c>
      <c r="F209" s="119">
        <v>73</v>
      </c>
      <c r="G209" s="119">
        <v>60</v>
      </c>
      <c r="H209" s="119">
        <f>R16</f>
        <v>58</v>
      </c>
      <c r="I209" s="109">
        <f aca="true" t="shared" si="14" ref="I209:I225">F209*H209/1000</f>
        <v>4.23</v>
      </c>
      <c r="J209" s="109"/>
      <c r="K209" s="109"/>
      <c r="L209" s="109"/>
      <c r="M209" s="116"/>
      <c r="N209" s="148"/>
      <c r="O209" s="89"/>
    </row>
    <row r="210" spans="2:15" ht="13.5">
      <c r="B210" s="119"/>
      <c r="C210" s="110"/>
      <c r="D210" s="145"/>
      <c r="E210" s="119" t="s">
        <v>98</v>
      </c>
      <c r="F210" s="119">
        <v>6</v>
      </c>
      <c r="G210" s="119">
        <v>6</v>
      </c>
      <c r="H210" s="119">
        <f>R40</f>
        <v>129</v>
      </c>
      <c r="I210" s="109">
        <f t="shared" si="14"/>
        <v>0.77</v>
      </c>
      <c r="J210" s="109"/>
      <c r="K210" s="109"/>
      <c r="L210" s="109"/>
      <c r="M210" s="116"/>
      <c r="N210" s="148"/>
      <c r="O210" s="89"/>
    </row>
    <row r="211" spans="2:15" ht="13.5">
      <c r="B211" s="119"/>
      <c r="C211" s="112"/>
      <c r="D211" s="145"/>
      <c r="E211" s="119" t="s">
        <v>8</v>
      </c>
      <c r="F211" s="119">
        <v>10</v>
      </c>
      <c r="G211" s="119">
        <v>8</v>
      </c>
      <c r="H211" s="119">
        <f>R20</f>
        <v>67</v>
      </c>
      <c r="I211" s="109">
        <f t="shared" si="14"/>
        <v>0.67</v>
      </c>
      <c r="J211" s="109"/>
      <c r="K211" s="109"/>
      <c r="L211" s="109"/>
      <c r="M211" s="116"/>
      <c r="N211" s="148"/>
      <c r="O211" s="89"/>
    </row>
    <row r="212" spans="2:15" ht="13.5">
      <c r="B212" s="119"/>
      <c r="C212" s="110"/>
      <c r="D212" s="145"/>
      <c r="E212" s="119" t="s">
        <v>6</v>
      </c>
      <c r="F212" s="119">
        <v>10</v>
      </c>
      <c r="G212" s="119">
        <v>8</v>
      </c>
      <c r="H212" s="119">
        <f>R19</f>
        <v>49</v>
      </c>
      <c r="I212" s="109">
        <f t="shared" si="14"/>
        <v>0.49</v>
      </c>
      <c r="J212" s="109"/>
      <c r="K212" s="109"/>
      <c r="L212" s="109"/>
      <c r="M212" s="116"/>
      <c r="N212" s="148"/>
      <c r="O212" s="89"/>
    </row>
    <row r="213" spans="2:15" ht="13.5">
      <c r="B213" s="119"/>
      <c r="C213" s="112"/>
      <c r="D213" s="145"/>
      <c r="E213" s="119" t="s">
        <v>26</v>
      </c>
      <c r="F213" s="119">
        <v>4</v>
      </c>
      <c r="G213" s="119">
        <v>4</v>
      </c>
      <c r="H213" s="119">
        <f>R34</f>
        <v>147</v>
      </c>
      <c r="I213" s="109">
        <f t="shared" si="14"/>
        <v>0.59</v>
      </c>
      <c r="J213" s="109">
        <v>2.48</v>
      </c>
      <c r="K213" s="109">
        <v>4.32</v>
      </c>
      <c r="L213" s="109">
        <v>15.75</v>
      </c>
      <c r="M213" s="116">
        <v>111.8</v>
      </c>
      <c r="N213" s="148">
        <v>219</v>
      </c>
      <c r="O213" s="89">
        <f>(J213+L213)*4+K213*9</f>
        <v>111.8</v>
      </c>
    </row>
    <row r="214" spans="2:15" ht="13.5">
      <c r="B214" s="119">
        <v>2</v>
      </c>
      <c r="C214" s="97" t="s">
        <v>169</v>
      </c>
      <c r="D214" s="5">
        <v>200</v>
      </c>
      <c r="E214" s="5" t="s">
        <v>16</v>
      </c>
      <c r="F214" s="143">
        <v>51</v>
      </c>
      <c r="G214" s="143">
        <v>51</v>
      </c>
      <c r="H214" s="119">
        <f>R6</f>
        <v>603</v>
      </c>
      <c r="I214" s="109">
        <f t="shared" si="14"/>
        <v>30.75</v>
      </c>
      <c r="J214" s="109"/>
      <c r="K214" s="109"/>
      <c r="L214" s="109"/>
      <c r="M214" s="116"/>
      <c r="N214" s="148"/>
      <c r="O214" s="89"/>
    </row>
    <row r="215" spans="2:15" ht="13.5">
      <c r="B215" s="119"/>
      <c r="C215" s="4"/>
      <c r="D215" s="6"/>
      <c r="E215" s="5" t="s">
        <v>27</v>
      </c>
      <c r="F215" s="149">
        <v>6</v>
      </c>
      <c r="G215" s="149">
        <v>6</v>
      </c>
      <c r="H215" s="119">
        <f>R11</f>
        <v>481</v>
      </c>
      <c r="I215" s="109">
        <f t="shared" si="14"/>
        <v>2.89</v>
      </c>
      <c r="J215" s="109"/>
      <c r="K215" s="109"/>
      <c r="L215" s="109"/>
      <c r="M215" s="116"/>
      <c r="N215" s="148"/>
      <c r="O215" s="89"/>
    </row>
    <row r="216" spans="2:15" ht="13.5">
      <c r="B216" s="119"/>
      <c r="C216" s="4"/>
      <c r="D216" s="5"/>
      <c r="E216" s="5" t="s">
        <v>18</v>
      </c>
      <c r="F216" s="149">
        <v>7</v>
      </c>
      <c r="G216" s="149">
        <v>7</v>
      </c>
      <c r="H216" s="119">
        <f>R25</f>
        <v>124</v>
      </c>
      <c r="I216" s="109">
        <f t="shared" si="14"/>
        <v>0.87</v>
      </c>
      <c r="J216" s="109"/>
      <c r="K216" s="109"/>
      <c r="L216" s="109"/>
      <c r="M216" s="116"/>
      <c r="N216" s="148"/>
      <c r="O216" s="89"/>
    </row>
    <row r="217" spans="2:15" ht="13.5">
      <c r="B217" s="119"/>
      <c r="C217" s="190"/>
      <c r="D217" s="119"/>
      <c r="E217" s="119" t="s">
        <v>6</v>
      </c>
      <c r="F217" s="119">
        <v>14</v>
      </c>
      <c r="G217" s="119">
        <v>13</v>
      </c>
      <c r="H217" s="119">
        <f>R19</f>
        <v>49</v>
      </c>
      <c r="I217" s="109">
        <f t="shared" si="14"/>
        <v>0.69</v>
      </c>
      <c r="J217" s="109"/>
      <c r="K217" s="109"/>
      <c r="L217" s="109"/>
      <c r="M217" s="116"/>
      <c r="N217" s="148"/>
      <c r="O217" s="89"/>
    </row>
    <row r="218" spans="2:15" ht="13.5">
      <c r="B218" s="119"/>
      <c r="C218" s="190"/>
      <c r="D218" s="119"/>
      <c r="E218" s="112" t="s">
        <v>73</v>
      </c>
      <c r="F218" s="119">
        <v>2</v>
      </c>
      <c r="G218" s="119">
        <v>2</v>
      </c>
      <c r="H218" s="119">
        <f>R37</f>
        <v>48</v>
      </c>
      <c r="I218" s="109">
        <f t="shared" si="14"/>
        <v>0.1</v>
      </c>
      <c r="J218" s="109"/>
      <c r="K218" s="109"/>
      <c r="L218" s="109"/>
      <c r="M218" s="116"/>
      <c r="N218" s="148"/>
      <c r="O218" s="89"/>
    </row>
    <row r="219" spans="2:15" ht="13.5">
      <c r="B219" s="119"/>
      <c r="C219" s="190"/>
      <c r="D219" s="119"/>
      <c r="E219" s="112" t="s">
        <v>102</v>
      </c>
      <c r="F219" s="119">
        <v>16</v>
      </c>
      <c r="G219" s="119">
        <v>13</v>
      </c>
      <c r="H219" s="119">
        <f>R22</f>
        <v>68</v>
      </c>
      <c r="I219" s="109">
        <f t="shared" si="14"/>
        <v>1.09</v>
      </c>
      <c r="J219" s="109"/>
      <c r="K219" s="109"/>
      <c r="L219" s="109"/>
      <c r="M219" s="116"/>
      <c r="N219" s="148"/>
      <c r="O219" s="89"/>
    </row>
    <row r="220" spans="2:15" ht="13.5">
      <c r="B220" s="119"/>
      <c r="C220" s="190"/>
      <c r="D220" s="119"/>
      <c r="E220" s="112" t="s">
        <v>7</v>
      </c>
      <c r="F220" s="119">
        <v>141</v>
      </c>
      <c r="G220" s="119">
        <v>115</v>
      </c>
      <c r="H220" s="119">
        <f>R16</f>
        <v>58</v>
      </c>
      <c r="I220" s="109">
        <f t="shared" si="14"/>
        <v>8.18</v>
      </c>
      <c r="J220" s="109">
        <v>11.03</v>
      </c>
      <c r="K220" s="109">
        <v>12.07</v>
      </c>
      <c r="L220" s="109">
        <v>18.58</v>
      </c>
      <c r="M220" s="116">
        <v>227.07</v>
      </c>
      <c r="N220" s="148">
        <v>529</v>
      </c>
      <c r="O220" s="89">
        <f>(J220+L220)*4+K220*9</f>
        <v>227.07</v>
      </c>
    </row>
    <row r="221" spans="2:18" ht="13.5">
      <c r="B221" s="119">
        <v>3</v>
      </c>
      <c r="C221" s="139" t="s">
        <v>34</v>
      </c>
      <c r="D221" s="145">
        <v>50</v>
      </c>
      <c r="E221" s="119" t="s">
        <v>19</v>
      </c>
      <c r="F221" s="119">
        <v>50</v>
      </c>
      <c r="G221" s="119">
        <v>50</v>
      </c>
      <c r="H221" s="121">
        <f>R60</f>
        <v>48</v>
      </c>
      <c r="I221" s="109">
        <f t="shared" si="14"/>
        <v>2.4</v>
      </c>
      <c r="J221" s="109">
        <v>3.35</v>
      </c>
      <c r="K221" s="109">
        <v>0.35</v>
      </c>
      <c r="L221" s="109">
        <v>25.15</v>
      </c>
      <c r="M221" s="116">
        <v>117.15</v>
      </c>
      <c r="N221" s="148"/>
      <c r="O221" s="89">
        <f>(J221+L221)*4+K221*9</f>
        <v>117.15</v>
      </c>
      <c r="P221" s="8"/>
      <c r="Q221" s="12"/>
      <c r="R221" s="9"/>
    </row>
    <row r="222" spans="2:18" ht="13.5">
      <c r="B222" s="119">
        <v>4</v>
      </c>
      <c r="C222" s="190" t="s">
        <v>25</v>
      </c>
      <c r="D222" s="119">
        <v>200</v>
      </c>
      <c r="E222" s="119" t="s">
        <v>20</v>
      </c>
      <c r="F222" s="119">
        <v>13</v>
      </c>
      <c r="G222" s="119">
        <v>13</v>
      </c>
      <c r="H222" s="121">
        <f>R30</f>
        <v>149</v>
      </c>
      <c r="I222" s="109">
        <f t="shared" si="14"/>
        <v>1.94</v>
      </c>
      <c r="J222" s="109"/>
      <c r="K222" s="109"/>
      <c r="L222" s="109"/>
      <c r="M222" s="116"/>
      <c r="N222" s="148"/>
      <c r="O222" s="89"/>
      <c r="P222" s="8"/>
      <c r="Q222" s="12"/>
      <c r="R222" s="9"/>
    </row>
    <row r="223" spans="2:18" ht="13.5">
      <c r="B223" s="119"/>
      <c r="C223" s="119"/>
      <c r="D223" s="119"/>
      <c r="E223" s="119" t="s">
        <v>2</v>
      </c>
      <c r="F223" s="119">
        <v>13</v>
      </c>
      <c r="G223" s="119">
        <v>13</v>
      </c>
      <c r="H223" s="121">
        <f>R50</f>
        <v>94</v>
      </c>
      <c r="I223" s="109">
        <f t="shared" si="14"/>
        <v>1.22</v>
      </c>
      <c r="J223" s="109">
        <v>1.06</v>
      </c>
      <c r="K223" s="109">
        <v>0</v>
      </c>
      <c r="L223" s="109">
        <v>27.52</v>
      </c>
      <c r="M223" s="116">
        <v>114.32</v>
      </c>
      <c r="N223" s="148">
        <v>933</v>
      </c>
      <c r="O223" s="89">
        <f>(J223+L223)*4+K223*9</f>
        <v>114.32</v>
      </c>
      <c r="P223" s="8"/>
      <c r="Q223" s="12"/>
      <c r="R223" s="9"/>
    </row>
    <row r="224" spans="2:18" ht="13.5">
      <c r="B224" s="119"/>
      <c r="C224" s="110"/>
      <c r="D224" s="119"/>
      <c r="E224" s="119" t="s">
        <v>103</v>
      </c>
      <c r="F224" s="121">
        <v>0.0005</v>
      </c>
      <c r="G224" s="121">
        <v>0.0005</v>
      </c>
      <c r="H224" s="121"/>
      <c r="I224" s="109"/>
      <c r="J224" s="109"/>
      <c r="K224" s="109"/>
      <c r="L224" s="109"/>
      <c r="M224" s="116"/>
      <c r="N224" s="148"/>
      <c r="O224" s="89"/>
      <c r="P224" s="8"/>
      <c r="Q224" s="12"/>
      <c r="R224" s="9"/>
    </row>
    <row r="225" spans="2:18" ht="13.5">
      <c r="B225" s="119">
        <v>5</v>
      </c>
      <c r="C225" s="110" t="s">
        <v>143</v>
      </c>
      <c r="D225" s="119">
        <v>70</v>
      </c>
      <c r="E225" s="119" t="s">
        <v>144</v>
      </c>
      <c r="F225" s="121">
        <v>70</v>
      </c>
      <c r="G225" s="121"/>
      <c r="H225" s="121">
        <f>R26</f>
        <v>116</v>
      </c>
      <c r="I225" s="109">
        <f t="shared" si="14"/>
        <v>8.12</v>
      </c>
      <c r="J225" s="151">
        <v>0.28</v>
      </c>
      <c r="K225" s="151">
        <v>0.28</v>
      </c>
      <c r="L225" s="151">
        <v>6.86</v>
      </c>
      <c r="M225" s="152">
        <v>31.08</v>
      </c>
      <c r="N225" s="148"/>
      <c r="O225" s="89">
        <f>(J225+L225)*4+K225*9</f>
        <v>31.08</v>
      </c>
      <c r="P225" s="8"/>
      <c r="Q225" s="12"/>
      <c r="R225" s="9"/>
    </row>
    <row r="226" spans="2:18" ht="13.5">
      <c r="B226" s="119"/>
      <c r="C226" s="110"/>
      <c r="D226" s="110"/>
      <c r="E226" s="112" t="s">
        <v>128</v>
      </c>
      <c r="F226" s="112">
        <v>2.5</v>
      </c>
      <c r="G226" s="112">
        <v>2.5</v>
      </c>
      <c r="H226" s="112">
        <f>R54</f>
        <v>23</v>
      </c>
      <c r="I226" s="109">
        <f>H226*F226/1000</f>
        <v>0.06</v>
      </c>
      <c r="J226" s="109"/>
      <c r="K226" s="109"/>
      <c r="L226" s="109"/>
      <c r="M226" s="116"/>
      <c r="N226" s="148"/>
      <c r="O226" s="89"/>
      <c r="P226" s="8"/>
      <c r="Q226" s="12"/>
      <c r="R226" s="9"/>
    </row>
    <row r="227" spans="2:18" ht="13.5">
      <c r="B227" s="119"/>
      <c r="C227" s="110"/>
      <c r="D227" s="110"/>
      <c r="E227" s="112" t="s">
        <v>93</v>
      </c>
      <c r="F227" s="112">
        <v>0.02</v>
      </c>
      <c r="G227" s="112">
        <v>0.02</v>
      </c>
      <c r="H227" s="112">
        <f>R59</f>
        <v>508</v>
      </c>
      <c r="I227" s="109">
        <f>H227*F227/1000</f>
        <v>0.01</v>
      </c>
      <c r="J227" s="109"/>
      <c r="K227" s="109"/>
      <c r="L227" s="109"/>
      <c r="M227" s="116"/>
      <c r="N227" s="148"/>
      <c r="O227" s="89"/>
      <c r="P227" s="8"/>
      <c r="Q227" s="12"/>
      <c r="R227" s="9"/>
    </row>
    <row r="228" spans="2:18" ht="13.5">
      <c r="B228" s="119"/>
      <c r="C228" s="226" t="s">
        <v>203</v>
      </c>
      <c r="D228" s="162">
        <f>SUM(D209:D227)</f>
        <v>720</v>
      </c>
      <c r="E228" s="119"/>
      <c r="F228" s="119"/>
      <c r="G228" s="119"/>
      <c r="H228" s="119"/>
      <c r="I228" s="163">
        <f>SUM(I209:I227)</f>
        <v>65.07</v>
      </c>
      <c r="J228" s="163">
        <f>SUM(J209:J227)</f>
        <v>18.2</v>
      </c>
      <c r="K228" s="163">
        <f>SUM(K209:K227)</f>
        <v>17.02</v>
      </c>
      <c r="L228" s="163">
        <f>SUM(L209:L227)</f>
        <v>93.86</v>
      </c>
      <c r="M228" s="163">
        <f>SUM(M209:M227)</f>
        <v>601.42</v>
      </c>
      <c r="N228" s="156"/>
      <c r="O228" s="89">
        <f>(J228+L228)*4+K228*9</f>
        <v>601.42</v>
      </c>
      <c r="P228" s="8"/>
      <c r="Q228" s="12"/>
      <c r="R228" s="9"/>
    </row>
    <row r="229" spans="2:16" ht="13.5">
      <c r="B229" s="268" t="s">
        <v>204</v>
      </c>
      <c r="C229" s="268"/>
      <c r="D229" s="268"/>
      <c r="E229" s="268"/>
      <c r="F229" s="268"/>
      <c r="G229" s="268"/>
      <c r="H229" s="268"/>
      <c r="I229" s="268"/>
      <c r="J229" s="163">
        <f>SUM(J207+J228)</f>
        <v>46.06</v>
      </c>
      <c r="K229" s="163">
        <f>SUM(K207+K228)</f>
        <v>56.06</v>
      </c>
      <c r="L229" s="163">
        <f>SUM(L207+L228)</f>
        <v>156.97</v>
      </c>
      <c r="M229" s="163">
        <f>SUM(M207+M228)</f>
        <v>1316.66</v>
      </c>
      <c r="N229" s="205"/>
      <c r="O229" s="89">
        <f>(J229+L229)*4+K229*9</f>
        <v>1316.66</v>
      </c>
      <c r="P229" s="36"/>
    </row>
    <row r="230" spans="2:15" ht="13.5">
      <c r="B230" s="173"/>
      <c r="C230" s="169"/>
      <c r="D230" s="173"/>
      <c r="E230" s="173"/>
      <c r="O230" s="89"/>
    </row>
    <row r="231" spans="2:15" ht="13.5">
      <c r="B231" s="173"/>
      <c r="C231" s="169" t="s">
        <v>38</v>
      </c>
      <c r="D231" s="173"/>
      <c r="E231" s="173"/>
      <c r="G231" s="124" t="s">
        <v>157</v>
      </c>
      <c r="O231" s="89"/>
    </row>
    <row r="232" spans="2:22" ht="31.5" customHeight="1">
      <c r="B232" s="265" t="s">
        <v>3</v>
      </c>
      <c r="C232" s="112"/>
      <c r="D232" s="112" t="s">
        <v>4</v>
      </c>
      <c r="E232" s="265" t="s">
        <v>28</v>
      </c>
      <c r="F232" s="135" t="s">
        <v>12</v>
      </c>
      <c r="G232" s="135" t="s">
        <v>56</v>
      </c>
      <c r="H232" s="135" t="s">
        <v>29</v>
      </c>
      <c r="I232" s="135" t="s">
        <v>30</v>
      </c>
      <c r="J232" s="262" t="s">
        <v>69</v>
      </c>
      <c r="K232" s="262" t="s">
        <v>70</v>
      </c>
      <c r="L232" s="262" t="s">
        <v>71</v>
      </c>
      <c r="M232" s="257" t="s">
        <v>72</v>
      </c>
      <c r="N232" s="259" t="s">
        <v>161</v>
      </c>
      <c r="O232" s="89"/>
      <c r="S232" s="8"/>
      <c r="T232" s="8"/>
      <c r="U232" s="8"/>
      <c r="V232" s="9"/>
    </row>
    <row r="233" spans="2:22" ht="13.5">
      <c r="B233" s="263"/>
      <c r="C233" s="138" t="s">
        <v>154</v>
      </c>
      <c r="D233" s="175" t="s">
        <v>31</v>
      </c>
      <c r="E233" s="260"/>
      <c r="F233" s="119" t="s">
        <v>31</v>
      </c>
      <c r="G233" s="119" t="s">
        <v>31</v>
      </c>
      <c r="H233" s="119" t="s">
        <v>32</v>
      </c>
      <c r="I233" s="119" t="s">
        <v>33</v>
      </c>
      <c r="J233" s="263"/>
      <c r="K233" s="263"/>
      <c r="L233" s="263"/>
      <c r="M233" s="269"/>
      <c r="N233" s="264"/>
      <c r="O233" s="89"/>
      <c r="S233" s="8"/>
      <c r="T233" s="8"/>
      <c r="U233" s="8"/>
      <c r="V233" s="9"/>
    </row>
    <row r="234" spans="2:22" ht="13.5">
      <c r="B234" s="112">
        <v>1</v>
      </c>
      <c r="C234" s="110" t="s">
        <v>149</v>
      </c>
      <c r="D234" s="119" t="s">
        <v>170</v>
      </c>
      <c r="E234" s="119" t="s">
        <v>91</v>
      </c>
      <c r="F234" s="119">
        <v>105</v>
      </c>
      <c r="G234" s="183">
        <v>105</v>
      </c>
      <c r="H234" s="119">
        <f>R13</f>
        <v>206</v>
      </c>
      <c r="I234" s="109">
        <f aca="true" t="shared" si="15" ref="I234:I248">H234*F234/1000</f>
        <v>21.63</v>
      </c>
      <c r="J234" s="109"/>
      <c r="K234" s="109"/>
      <c r="L234" s="109"/>
      <c r="M234" s="116"/>
      <c r="N234" s="141"/>
      <c r="O234" s="89"/>
      <c r="S234" s="8"/>
      <c r="T234" s="8"/>
      <c r="U234" s="8"/>
      <c r="V234" s="9"/>
    </row>
    <row r="235" spans="2:22" ht="13.5">
      <c r="B235" s="112"/>
      <c r="C235" s="110" t="s">
        <v>150</v>
      </c>
      <c r="D235" s="119"/>
      <c r="E235" s="119" t="s">
        <v>151</v>
      </c>
      <c r="F235" s="119">
        <v>47</v>
      </c>
      <c r="G235" s="119">
        <v>35</v>
      </c>
      <c r="H235" s="119">
        <f>R26</f>
        <v>116</v>
      </c>
      <c r="I235" s="109">
        <f t="shared" si="15"/>
        <v>5.45</v>
      </c>
      <c r="J235" s="109"/>
      <c r="K235" s="109"/>
      <c r="L235" s="109"/>
      <c r="M235" s="116"/>
      <c r="N235" s="141"/>
      <c r="O235" s="89"/>
      <c r="S235" s="8"/>
      <c r="T235" s="8"/>
      <c r="U235" s="8"/>
      <c r="V235" s="9"/>
    </row>
    <row r="236" spans="2:22" ht="13.5">
      <c r="B236" s="119"/>
      <c r="C236" s="112"/>
      <c r="D236" s="119"/>
      <c r="E236" s="119" t="s">
        <v>2</v>
      </c>
      <c r="F236" s="119">
        <v>10</v>
      </c>
      <c r="G236" s="119">
        <v>10</v>
      </c>
      <c r="H236" s="141">
        <f>R50</f>
        <v>94</v>
      </c>
      <c r="I236" s="109">
        <f t="shared" si="15"/>
        <v>0.94</v>
      </c>
      <c r="J236" s="109"/>
      <c r="K236" s="109"/>
      <c r="L236" s="109"/>
      <c r="M236" s="116"/>
      <c r="N236" s="141"/>
      <c r="O236" s="89"/>
      <c r="S236" s="8"/>
      <c r="T236" s="8"/>
      <c r="U236" s="8"/>
      <c r="V236" s="9"/>
    </row>
    <row r="237" spans="2:22" ht="13.5">
      <c r="B237" s="119"/>
      <c r="C237" s="190"/>
      <c r="D237" s="119"/>
      <c r="E237" s="119" t="s">
        <v>11</v>
      </c>
      <c r="F237" s="119">
        <v>0.2</v>
      </c>
      <c r="G237" s="119">
        <v>0.2</v>
      </c>
      <c r="H237" s="109">
        <f>R5</f>
        <v>9.5</v>
      </c>
      <c r="I237" s="109">
        <f>H237*F237</f>
        <v>1.9</v>
      </c>
      <c r="J237" s="109"/>
      <c r="K237" s="109"/>
      <c r="L237" s="109"/>
      <c r="M237" s="116"/>
      <c r="N237" s="141"/>
      <c r="O237" s="89"/>
      <c r="S237" s="8"/>
      <c r="T237" s="8"/>
      <c r="U237" s="8"/>
      <c r="V237" s="9"/>
    </row>
    <row r="238" spans="2:22" ht="13.5">
      <c r="B238" s="119"/>
      <c r="C238" s="190"/>
      <c r="D238" s="119"/>
      <c r="E238" s="119" t="s">
        <v>27</v>
      </c>
      <c r="F238" s="119">
        <v>6</v>
      </c>
      <c r="G238" s="119">
        <v>6</v>
      </c>
      <c r="H238" s="119">
        <f>R11</f>
        <v>481</v>
      </c>
      <c r="I238" s="109">
        <f t="shared" si="15"/>
        <v>2.89</v>
      </c>
      <c r="J238" s="109"/>
      <c r="K238" s="109"/>
      <c r="L238" s="109"/>
      <c r="M238" s="116"/>
      <c r="N238" s="141"/>
      <c r="O238" s="89"/>
      <c r="S238" s="8"/>
      <c r="T238" s="8"/>
      <c r="U238" s="8"/>
      <c r="V238" s="9"/>
    </row>
    <row r="239" spans="2:22" ht="13.5">
      <c r="B239" s="119"/>
      <c r="C239" s="190"/>
      <c r="D239" s="119"/>
      <c r="E239" s="119" t="s">
        <v>152</v>
      </c>
      <c r="F239" s="119">
        <v>5</v>
      </c>
      <c r="G239" s="119">
        <v>5</v>
      </c>
      <c r="H239" s="119">
        <f>R60</f>
        <v>48</v>
      </c>
      <c r="I239" s="109">
        <f t="shared" si="15"/>
        <v>0.24</v>
      </c>
      <c r="J239" s="109"/>
      <c r="K239" s="109"/>
      <c r="L239" s="109"/>
      <c r="M239" s="116"/>
      <c r="N239" s="141"/>
      <c r="O239" s="89"/>
      <c r="S239" s="8"/>
      <c r="T239" s="8"/>
      <c r="U239" s="8"/>
      <c r="V239" s="9"/>
    </row>
    <row r="240" spans="2:15" ht="13.5">
      <c r="B240" s="119"/>
      <c r="C240" s="190"/>
      <c r="D240" s="119"/>
      <c r="E240" s="119" t="s">
        <v>9</v>
      </c>
      <c r="F240" s="119">
        <v>5</v>
      </c>
      <c r="G240" s="119">
        <v>5</v>
      </c>
      <c r="H240" s="119">
        <f>R12</f>
        <v>182</v>
      </c>
      <c r="I240" s="109">
        <f t="shared" si="15"/>
        <v>0.91</v>
      </c>
      <c r="J240" s="147">
        <v>20.42</v>
      </c>
      <c r="K240" s="147">
        <v>35.66</v>
      </c>
      <c r="L240" s="147">
        <v>21.95</v>
      </c>
      <c r="M240" s="116">
        <v>490.42</v>
      </c>
      <c r="N240" s="148">
        <v>240</v>
      </c>
      <c r="O240" s="89">
        <f>(J240+L240)*4+K240*9</f>
        <v>490.42</v>
      </c>
    </row>
    <row r="241" spans="2:15" ht="13.5">
      <c r="B241" s="119"/>
      <c r="C241" s="190"/>
      <c r="D241" s="119"/>
      <c r="E241" s="119" t="s">
        <v>101</v>
      </c>
      <c r="F241" s="119">
        <v>20</v>
      </c>
      <c r="G241" s="119">
        <v>20</v>
      </c>
      <c r="H241" s="119">
        <f>R15</f>
        <v>233</v>
      </c>
      <c r="I241" s="109">
        <f t="shared" si="15"/>
        <v>4.66</v>
      </c>
      <c r="J241" s="147">
        <v>1.36</v>
      </c>
      <c r="K241" s="147">
        <v>0.16</v>
      </c>
      <c r="L241" s="147">
        <v>10.7</v>
      </c>
      <c r="M241" s="116">
        <v>49.68</v>
      </c>
      <c r="N241" s="206"/>
      <c r="O241" s="89">
        <f>(J241+L241)*4+K241*9</f>
        <v>49.68</v>
      </c>
    </row>
    <row r="242" spans="2:15" ht="13.5">
      <c r="B242" s="119">
        <v>2</v>
      </c>
      <c r="C242" s="190" t="s">
        <v>78</v>
      </c>
      <c r="D242" s="119">
        <v>200</v>
      </c>
      <c r="E242" s="119" t="s">
        <v>135</v>
      </c>
      <c r="F242" s="119">
        <v>3</v>
      </c>
      <c r="G242" s="119">
        <v>3</v>
      </c>
      <c r="H242" s="119">
        <f>R56</f>
        <v>501</v>
      </c>
      <c r="I242" s="109">
        <f t="shared" si="15"/>
        <v>1.5</v>
      </c>
      <c r="J242" s="109"/>
      <c r="K242" s="109"/>
      <c r="L242" s="109"/>
      <c r="M242" s="116"/>
      <c r="N242" s="141"/>
      <c r="O242" s="89"/>
    </row>
    <row r="243" spans="2:15" ht="13.5">
      <c r="B243" s="119"/>
      <c r="C243" s="190"/>
      <c r="D243" s="119"/>
      <c r="E243" s="119" t="s">
        <v>10</v>
      </c>
      <c r="F243" s="119">
        <v>85</v>
      </c>
      <c r="G243" s="119">
        <v>85</v>
      </c>
      <c r="H243" s="119">
        <f>R10</f>
        <v>68</v>
      </c>
      <c r="I243" s="109">
        <f t="shared" si="15"/>
        <v>5.78</v>
      </c>
      <c r="J243" s="109"/>
      <c r="K243" s="109"/>
      <c r="L243" s="109"/>
      <c r="M243" s="116"/>
      <c r="N243" s="141"/>
      <c r="O243" s="89"/>
    </row>
    <row r="244" spans="2:15" ht="13.5">
      <c r="B244" s="119"/>
      <c r="C244" s="119"/>
      <c r="D244" s="119"/>
      <c r="E244" s="119" t="s">
        <v>2</v>
      </c>
      <c r="F244" s="119">
        <v>13</v>
      </c>
      <c r="G244" s="119">
        <v>13</v>
      </c>
      <c r="H244" s="119">
        <f>R50</f>
        <v>94</v>
      </c>
      <c r="I244" s="109">
        <f t="shared" si="15"/>
        <v>1.22</v>
      </c>
      <c r="J244" s="151">
        <v>3.12</v>
      </c>
      <c r="K244" s="151">
        <v>2.66</v>
      </c>
      <c r="L244" s="151">
        <v>14.18</v>
      </c>
      <c r="M244" s="152">
        <v>93.14</v>
      </c>
      <c r="N244" s="141">
        <v>1024</v>
      </c>
      <c r="O244" s="89">
        <f>(J244+L244)*4+K244*9</f>
        <v>93.14</v>
      </c>
    </row>
    <row r="245" spans="2:15" ht="13.5">
      <c r="B245" s="119">
        <v>3</v>
      </c>
      <c r="C245" s="190" t="s">
        <v>34</v>
      </c>
      <c r="D245" s="119">
        <v>50</v>
      </c>
      <c r="E245" s="119" t="s">
        <v>19</v>
      </c>
      <c r="F245" s="119">
        <v>50</v>
      </c>
      <c r="G245" s="119">
        <v>50</v>
      </c>
      <c r="H245" s="119">
        <f>R60</f>
        <v>48</v>
      </c>
      <c r="I245" s="109">
        <f t="shared" si="15"/>
        <v>2.4</v>
      </c>
      <c r="J245" s="109">
        <v>3.35</v>
      </c>
      <c r="K245" s="109">
        <v>0.35</v>
      </c>
      <c r="L245" s="109">
        <v>25.15</v>
      </c>
      <c r="M245" s="116">
        <v>117.15</v>
      </c>
      <c r="N245" s="141"/>
      <c r="O245" s="89">
        <f>(J245+L245)*4+K245*9</f>
        <v>117.15</v>
      </c>
    </row>
    <row r="246" spans="2:15" ht="13.5">
      <c r="B246" s="119">
        <v>4</v>
      </c>
      <c r="C246" s="190" t="s">
        <v>65</v>
      </c>
      <c r="D246" s="119">
        <v>10</v>
      </c>
      <c r="E246" s="119" t="s">
        <v>27</v>
      </c>
      <c r="F246" s="119">
        <v>10</v>
      </c>
      <c r="G246" s="119">
        <v>10</v>
      </c>
      <c r="H246" s="119">
        <f>R11</f>
        <v>481</v>
      </c>
      <c r="I246" s="109">
        <f t="shared" si="15"/>
        <v>4.81</v>
      </c>
      <c r="J246" s="147">
        <v>0.04</v>
      </c>
      <c r="K246" s="147">
        <v>7.85</v>
      </c>
      <c r="L246" s="147">
        <v>0.05</v>
      </c>
      <c r="M246" s="116">
        <v>71.01</v>
      </c>
      <c r="N246" s="148"/>
      <c r="O246" s="89">
        <f>(J246+L246)*4+K246*9</f>
        <v>71.01</v>
      </c>
    </row>
    <row r="247" spans="2:15" ht="13.5">
      <c r="B247" s="119">
        <v>5</v>
      </c>
      <c r="C247" s="190" t="s">
        <v>145</v>
      </c>
      <c r="D247" s="119">
        <v>70</v>
      </c>
      <c r="E247" s="119" t="s">
        <v>146</v>
      </c>
      <c r="F247" s="119">
        <v>70</v>
      </c>
      <c r="G247" s="119"/>
      <c r="H247" s="119">
        <f>R29</f>
        <v>153</v>
      </c>
      <c r="I247" s="109">
        <f t="shared" si="15"/>
        <v>10.71</v>
      </c>
      <c r="J247" s="109">
        <v>1.05</v>
      </c>
      <c r="K247" s="109">
        <v>0.35</v>
      </c>
      <c r="L247" s="109">
        <v>5.6</v>
      </c>
      <c r="M247" s="116">
        <v>29.75</v>
      </c>
      <c r="N247" s="141"/>
      <c r="O247" s="89">
        <f>(J247+L247)*4+K247*9</f>
        <v>29.75</v>
      </c>
    </row>
    <row r="248" spans="2:15" ht="13.5">
      <c r="B248" s="119"/>
      <c r="C248" s="119"/>
      <c r="D248" s="119"/>
      <c r="E248" s="119" t="s">
        <v>128</v>
      </c>
      <c r="F248" s="119">
        <v>1.5</v>
      </c>
      <c r="G248" s="119">
        <v>1.5</v>
      </c>
      <c r="H248" s="119">
        <f>R54</f>
        <v>23</v>
      </c>
      <c r="I248" s="109">
        <f t="shared" si="15"/>
        <v>0.03</v>
      </c>
      <c r="J248" s="109"/>
      <c r="K248" s="109"/>
      <c r="L248" s="109"/>
      <c r="M248" s="116"/>
      <c r="N248" s="141"/>
      <c r="O248" s="89"/>
    </row>
    <row r="249" spans="2:15" ht="13.5">
      <c r="B249" s="119"/>
      <c r="C249" s="226" t="s">
        <v>202</v>
      </c>
      <c r="D249" s="162">
        <v>500</v>
      </c>
      <c r="E249" s="119"/>
      <c r="F249" s="119"/>
      <c r="G249" s="119"/>
      <c r="H249" s="121"/>
      <c r="I249" s="163">
        <f>SUM(I234:I248)</f>
        <v>65.07</v>
      </c>
      <c r="J249" s="163">
        <f>SUM(J234:J248)</f>
        <v>29.34</v>
      </c>
      <c r="K249" s="163">
        <f>SUM(K234:K248)</f>
        <v>47.03</v>
      </c>
      <c r="L249" s="163">
        <f>SUM(L234:L248)</f>
        <v>77.63</v>
      </c>
      <c r="M249" s="163">
        <f>SUM(M234:M248)</f>
        <v>851.15</v>
      </c>
      <c r="N249" s="156"/>
      <c r="O249" s="89">
        <f>(J249+L249)*4+K249*9</f>
        <v>851.15</v>
      </c>
    </row>
    <row r="250" spans="2:15" ht="13.5">
      <c r="B250" s="119"/>
      <c r="C250" s="157" t="s">
        <v>155</v>
      </c>
      <c r="D250" s="112"/>
      <c r="E250" s="112"/>
      <c r="F250" s="119"/>
      <c r="G250" s="119"/>
      <c r="H250" s="119"/>
      <c r="I250" s="109"/>
      <c r="J250" s="109"/>
      <c r="K250" s="109"/>
      <c r="L250" s="109"/>
      <c r="M250" s="116"/>
      <c r="N250" s="141"/>
      <c r="O250" s="89"/>
    </row>
    <row r="251" spans="2:15" ht="13.5">
      <c r="B251" s="119">
        <v>1</v>
      </c>
      <c r="C251" s="139" t="s">
        <v>131</v>
      </c>
      <c r="D251" s="119">
        <v>210</v>
      </c>
      <c r="E251" s="112" t="s">
        <v>7</v>
      </c>
      <c r="F251" s="119">
        <v>74</v>
      </c>
      <c r="G251" s="119">
        <v>63</v>
      </c>
      <c r="H251" s="119">
        <f>R16</f>
        <v>58</v>
      </c>
      <c r="I251" s="109">
        <f aca="true" t="shared" si="16" ref="I251:I257">H251*F251/1000</f>
        <v>4.29</v>
      </c>
      <c r="J251" s="109"/>
      <c r="K251" s="109"/>
      <c r="L251" s="109"/>
      <c r="M251" s="116"/>
      <c r="N251" s="141"/>
      <c r="O251" s="89"/>
    </row>
    <row r="252" spans="2:15" ht="13.5">
      <c r="B252" s="119"/>
      <c r="C252" s="139"/>
      <c r="D252" s="119"/>
      <c r="E252" s="119" t="s">
        <v>132</v>
      </c>
      <c r="F252" s="119">
        <v>7</v>
      </c>
      <c r="G252" s="119">
        <v>7</v>
      </c>
      <c r="H252" s="119">
        <f>R47</f>
        <v>51</v>
      </c>
      <c r="I252" s="109">
        <f t="shared" si="16"/>
        <v>0.36</v>
      </c>
      <c r="J252" s="109"/>
      <c r="K252" s="109"/>
      <c r="L252" s="109"/>
      <c r="M252" s="116"/>
      <c r="N252" s="141"/>
      <c r="O252" s="89"/>
    </row>
    <row r="253" spans="2:21" ht="13.5">
      <c r="B253" s="119"/>
      <c r="C253" s="139"/>
      <c r="D253" s="119"/>
      <c r="E253" s="119" t="s">
        <v>8</v>
      </c>
      <c r="F253" s="119">
        <v>12</v>
      </c>
      <c r="G253" s="119">
        <v>10</v>
      </c>
      <c r="H253" s="121">
        <f>R20</f>
        <v>67</v>
      </c>
      <c r="I253" s="109">
        <f t="shared" si="16"/>
        <v>0.8</v>
      </c>
      <c r="J253" s="109"/>
      <c r="K253" s="109"/>
      <c r="L253" s="109"/>
      <c r="M253" s="116"/>
      <c r="N253" s="141"/>
      <c r="O253" s="89"/>
      <c r="S253" s="8"/>
      <c r="T253" s="12"/>
      <c r="U253" s="9"/>
    </row>
    <row r="254" spans="2:15" ht="13.5">
      <c r="B254" s="119"/>
      <c r="C254" s="139"/>
      <c r="D254" s="119"/>
      <c r="E254" s="119" t="s">
        <v>6</v>
      </c>
      <c r="F254" s="119">
        <v>11</v>
      </c>
      <c r="G254" s="119">
        <v>10</v>
      </c>
      <c r="H254" s="121">
        <f>R19</f>
        <v>49</v>
      </c>
      <c r="I254" s="109">
        <f t="shared" si="16"/>
        <v>0.54</v>
      </c>
      <c r="J254" s="109"/>
      <c r="K254" s="109"/>
      <c r="L254" s="109"/>
      <c r="M254" s="116"/>
      <c r="N254" s="141"/>
      <c r="O254" s="89"/>
    </row>
    <row r="255" spans="2:15" ht="13.5">
      <c r="B255" s="119"/>
      <c r="C255" s="139"/>
      <c r="D255" s="119"/>
      <c r="E255" s="119" t="s">
        <v>102</v>
      </c>
      <c r="F255" s="119">
        <v>21</v>
      </c>
      <c r="G255" s="119">
        <v>15</v>
      </c>
      <c r="H255" s="121">
        <f>R22</f>
        <v>68</v>
      </c>
      <c r="I255" s="109">
        <f t="shared" si="16"/>
        <v>1.43</v>
      </c>
      <c r="J255" s="109"/>
      <c r="K255" s="109"/>
      <c r="L255" s="109"/>
      <c r="M255" s="116"/>
      <c r="N255" s="141"/>
      <c r="O255" s="89"/>
    </row>
    <row r="256" spans="2:15" ht="13.5">
      <c r="B256" s="119"/>
      <c r="C256" s="139"/>
      <c r="D256" s="119"/>
      <c r="E256" s="119" t="s">
        <v>26</v>
      </c>
      <c r="F256" s="119">
        <v>5</v>
      </c>
      <c r="G256" s="119">
        <v>5</v>
      </c>
      <c r="H256" s="121">
        <f>R34</f>
        <v>147</v>
      </c>
      <c r="I256" s="109">
        <f t="shared" si="16"/>
        <v>0.74</v>
      </c>
      <c r="J256" s="109">
        <v>3.17</v>
      </c>
      <c r="K256" s="109">
        <v>5.43</v>
      </c>
      <c r="L256" s="109">
        <v>21.47</v>
      </c>
      <c r="M256" s="116">
        <v>147.43</v>
      </c>
      <c r="N256" s="141">
        <v>208</v>
      </c>
      <c r="O256" s="89">
        <f>(J256+L256)*4+K256*9</f>
        <v>147.43</v>
      </c>
    </row>
    <row r="257" spans="2:15" ht="13.5">
      <c r="B257" s="119"/>
      <c r="C257" s="139"/>
      <c r="D257" s="119"/>
      <c r="E257" s="112" t="s">
        <v>9</v>
      </c>
      <c r="F257" s="119">
        <v>10</v>
      </c>
      <c r="G257" s="119">
        <v>10</v>
      </c>
      <c r="H257" s="121">
        <f>R12</f>
        <v>182</v>
      </c>
      <c r="I257" s="109">
        <f t="shared" si="16"/>
        <v>1.82</v>
      </c>
      <c r="J257" s="109">
        <v>0.21</v>
      </c>
      <c r="K257" s="109">
        <v>2.82</v>
      </c>
      <c r="L257" s="109">
        <v>0.31</v>
      </c>
      <c r="M257" s="116">
        <v>27.46</v>
      </c>
      <c r="N257" s="141"/>
      <c r="O257" s="89">
        <f>(J257+L257)*4+K257*9</f>
        <v>27.46</v>
      </c>
    </row>
    <row r="258" spans="2:16" ht="13.5">
      <c r="B258" s="119">
        <v>2</v>
      </c>
      <c r="C258" s="153" t="s">
        <v>129</v>
      </c>
      <c r="D258" s="121">
        <v>80</v>
      </c>
      <c r="E258" s="112" t="s">
        <v>16</v>
      </c>
      <c r="F258" s="121">
        <v>57</v>
      </c>
      <c r="G258" s="121">
        <v>57</v>
      </c>
      <c r="H258" s="119">
        <f>R6</f>
        <v>603</v>
      </c>
      <c r="I258" s="109">
        <f>F258*H258/1000</f>
        <v>34.37</v>
      </c>
      <c r="J258" s="109"/>
      <c r="K258" s="109"/>
      <c r="L258" s="109"/>
      <c r="M258" s="116"/>
      <c r="N258" s="141"/>
      <c r="O258" s="89"/>
      <c r="P258" s="13"/>
    </row>
    <row r="259" spans="2:16" ht="13.5">
      <c r="B259" s="119"/>
      <c r="C259" s="153"/>
      <c r="D259" s="119"/>
      <c r="E259" s="112" t="s">
        <v>8</v>
      </c>
      <c r="F259" s="119">
        <v>12</v>
      </c>
      <c r="G259" s="119">
        <v>9</v>
      </c>
      <c r="H259" s="119">
        <f>R20</f>
        <v>67</v>
      </c>
      <c r="I259" s="109">
        <f>F259*H259/1000</f>
        <v>0.8</v>
      </c>
      <c r="J259" s="109"/>
      <c r="K259" s="109"/>
      <c r="L259" s="109"/>
      <c r="M259" s="116"/>
      <c r="N259" s="141"/>
      <c r="O259" s="89"/>
      <c r="P259" s="13"/>
    </row>
    <row r="260" spans="2:15" ht="13.5">
      <c r="B260" s="119"/>
      <c r="C260" s="110"/>
      <c r="D260" s="119"/>
      <c r="E260" s="119" t="s">
        <v>6</v>
      </c>
      <c r="F260" s="119">
        <v>8</v>
      </c>
      <c r="G260" s="119">
        <v>6</v>
      </c>
      <c r="H260" s="119">
        <f>R19</f>
        <v>49</v>
      </c>
      <c r="I260" s="109">
        <f aca="true" t="shared" si="17" ref="I260:I265">H260*F260/1000</f>
        <v>0.39</v>
      </c>
      <c r="J260" s="109"/>
      <c r="K260" s="109"/>
      <c r="L260" s="109"/>
      <c r="M260" s="116"/>
      <c r="N260" s="141"/>
      <c r="O260" s="89"/>
    </row>
    <row r="261" spans="2:15" ht="13.5">
      <c r="B261" s="119"/>
      <c r="C261" s="110"/>
      <c r="D261" s="119"/>
      <c r="E261" s="119" t="s">
        <v>18</v>
      </c>
      <c r="F261" s="119">
        <v>2</v>
      </c>
      <c r="G261" s="119">
        <v>2</v>
      </c>
      <c r="H261" s="119">
        <f>R25</f>
        <v>124</v>
      </c>
      <c r="I261" s="109">
        <f t="shared" si="17"/>
        <v>0.25</v>
      </c>
      <c r="J261" s="109"/>
      <c r="K261" s="109"/>
      <c r="L261" s="109"/>
      <c r="M261" s="116"/>
      <c r="N261" s="141"/>
      <c r="O261" s="89"/>
    </row>
    <row r="262" spans="2:15" ht="13.5">
      <c r="B262" s="119"/>
      <c r="C262" s="110"/>
      <c r="D262" s="119"/>
      <c r="E262" s="119" t="s">
        <v>27</v>
      </c>
      <c r="F262" s="119">
        <v>2</v>
      </c>
      <c r="G262" s="119">
        <v>2</v>
      </c>
      <c r="H262" s="119">
        <f>R11</f>
        <v>481</v>
      </c>
      <c r="I262" s="109">
        <f t="shared" si="17"/>
        <v>0.96</v>
      </c>
      <c r="J262" s="109"/>
      <c r="K262" s="109"/>
      <c r="L262" s="109"/>
      <c r="M262" s="116"/>
      <c r="N262" s="141"/>
      <c r="O262" s="89"/>
    </row>
    <row r="263" spans="2:15" ht="13.5">
      <c r="B263" s="119"/>
      <c r="C263" s="110"/>
      <c r="D263" s="119"/>
      <c r="E263" s="119" t="s">
        <v>73</v>
      </c>
      <c r="F263" s="119">
        <v>3</v>
      </c>
      <c r="G263" s="119">
        <v>3</v>
      </c>
      <c r="H263" s="119">
        <f>R37</f>
        <v>48</v>
      </c>
      <c r="I263" s="109">
        <f t="shared" si="17"/>
        <v>0.14</v>
      </c>
      <c r="J263" s="109">
        <v>11</v>
      </c>
      <c r="K263" s="109">
        <v>8.69</v>
      </c>
      <c r="L263" s="109">
        <v>2.79</v>
      </c>
      <c r="M263" s="116">
        <v>133.37</v>
      </c>
      <c r="N263" s="141">
        <v>277</v>
      </c>
      <c r="O263" s="89">
        <f>(J263+L263)*4+K263*9</f>
        <v>133.37</v>
      </c>
    </row>
    <row r="264" spans="2:15" ht="13.5">
      <c r="B264" s="119">
        <v>3</v>
      </c>
      <c r="C264" s="178" t="s">
        <v>193</v>
      </c>
      <c r="D264" s="119">
        <v>150</v>
      </c>
      <c r="E264" s="119" t="s">
        <v>194</v>
      </c>
      <c r="F264" s="119">
        <v>31</v>
      </c>
      <c r="G264" s="119">
        <v>31</v>
      </c>
      <c r="H264" s="119">
        <f>R44</f>
        <v>60</v>
      </c>
      <c r="I264" s="109">
        <f t="shared" si="17"/>
        <v>1.86</v>
      </c>
      <c r="J264" s="109"/>
      <c r="K264" s="109"/>
      <c r="L264" s="109"/>
      <c r="M264" s="116"/>
      <c r="N264" s="141"/>
      <c r="O264" s="89"/>
    </row>
    <row r="265" spans="2:15" ht="13.5">
      <c r="B265" s="119"/>
      <c r="C265" s="190"/>
      <c r="D265" s="119"/>
      <c r="E265" s="119" t="s">
        <v>27</v>
      </c>
      <c r="F265" s="119">
        <v>5</v>
      </c>
      <c r="G265" s="119">
        <v>5</v>
      </c>
      <c r="H265" s="119">
        <f>R11</f>
        <v>481</v>
      </c>
      <c r="I265" s="109">
        <f t="shared" si="17"/>
        <v>2.41</v>
      </c>
      <c r="J265" s="109">
        <v>3.94</v>
      </c>
      <c r="K265" s="109">
        <v>1.66</v>
      </c>
      <c r="L265" s="109">
        <v>25.05</v>
      </c>
      <c r="M265" s="116">
        <v>130.9</v>
      </c>
      <c r="N265" s="141">
        <v>744</v>
      </c>
      <c r="O265" s="89">
        <f>(J265+L265)*4+K265*9</f>
        <v>130.9</v>
      </c>
    </row>
    <row r="266" spans="2:15" ht="13.5">
      <c r="B266" s="119">
        <v>4</v>
      </c>
      <c r="C266" s="190" t="s">
        <v>34</v>
      </c>
      <c r="D266" s="145">
        <v>50</v>
      </c>
      <c r="E266" s="119" t="s">
        <v>19</v>
      </c>
      <c r="F266" s="119">
        <v>50</v>
      </c>
      <c r="G266" s="119">
        <v>50</v>
      </c>
      <c r="H266" s="121">
        <f>R60</f>
        <v>48</v>
      </c>
      <c r="I266" s="109">
        <f>F266*H266/1000</f>
        <v>2.4</v>
      </c>
      <c r="J266" s="109">
        <v>3.35</v>
      </c>
      <c r="K266" s="109">
        <v>0.35</v>
      </c>
      <c r="L266" s="109">
        <v>25.15</v>
      </c>
      <c r="M266" s="116">
        <v>117.15</v>
      </c>
      <c r="N266" s="141"/>
      <c r="O266" s="89">
        <f>(J266+L266)*4+K266*9</f>
        <v>117.15</v>
      </c>
    </row>
    <row r="267" spans="2:15" ht="13.5">
      <c r="B267" s="119">
        <v>5</v>
      </c>
      <c r="C267" s="190" t="s">
        <v>25</v>
      </c>
      <c r="D267" s="119">
        <v>200</v>
      </c>
      <c r="E267" s="119" t="s">
        <v>20</v>
      </c>
      <c r="F267" s="119">
        <v>14</v>
      </c>
      <c r="G267" s="119">
        <v>14</v>
      </c>
      <c r="H267" s="121">
        <f>R30</f>
        <v>149</v>
      </c>
      <c r="I267" s="109">
        <f>F267*H267/1000</f>
        <v>2.09</v>
      </c>
      <c r="J267" s="109"/>
      <c r="K267" s="109"/>
      <c r="L267" s="109"/>
      <c r="M267" s="116"/>
      <c r="N267" s="141"/>
      <c r="O267" s="89"/>
    </row>
    <row r="268" spans="2:15" ht="13.5">
      <c r="B268" s="119"/>
      <c r="C268" s="119"/>
      <c r="D268" s="119"/>
      <c r="E268" s="119" t="s">
        <v>2</v>
      </c>
      <c r="F268" s="119">
        <v>13</v>
      </c>
      <c r="G268" s="119">
        <v>13</v>
      </c>
      <c r="H268" s="121">
        <f>R50</f>
        <v>94</v>
      </c>
      <c r="I268" s="109">
        <f>F268*H268/1000</f>
        <v>1.22</v>
      </c>
      <c r="J268" s="109">
        <v>1.04</v>
      </c>
      <c r="K268" s="109">
        <v>0</v>
      </c>
      <c r="L268" s="109">
        <v>26.96</v>
      </c>
      <c r="M268" s="116">
        <v>112</v>
      </c>
      <c r="N268" s="148">
        <v>933</v>
      </c>
      <c r="O268" s="89">
        <f>(J268+L268)*4+K268*9</f>
        <v>112</v>
      </c>
    </row>
    <row r="269" spans="2:15" s="34" customFormat="1" ht="13.5">
      <c r="B269" s="121"/>
      <c r="C269" s="207"/>
      <c r="D269" s="121"/>
      <c r="E269" s="121" t="s">
        <v>103</v>
      </c>
      <c r="F269" s="121">
        <v>0.0005</v>
      </c>
      <c r="G269" s="121">
        <v>0.0005</v>
      </c>
      <c r="H269" s="121"/>
      <c r="I269" s="147"/>
      <c r="J269" s="147"/>
      <c r="K269" s="147"/>
      <c r="L269" s="147"/>
      <c r="M269" s="116"/>
      <c r="N269" s="148"/>
      <c r="O269" s="105"/>
    </row>
    <row r="270" spans="2:15" s="34" customFormat="1" ht="13.5">
      <c r="B270" s="121">
        <v>6</v>
      </c>
      <c r="C270" s="207" t="s">
        <v>143</v>
      </c>
      <c r="D270" s="121">
        <v>70</v>
      </c>
      <c r="E270" s="121" t="s">
        <v>144</v>
      </c>
      <c r="F270" s="121">
        <v>70</v>
      </c>
      <c r="G270" s="121"/>
      <c r="H270" s="121">
        <f>R26</f>
        <v>116</v>
      </c>
      <c r="I270" s="147">
        <f>F270*H270/1000</f>
        <v>8.12</v>
      </c>
      <c r="J270" s="210">
        <v>0.28</v>
      </c>
      <c r="K270" s="210">
        <v>0.28</v>
      </c>
      <c r="L270" s="210">
        <v>6.86</v>
      </c>
      <c r="M270" s="210">
        <v>31.08</v>
      </c>
      <c r="N270" s="148"/>
      <c r="O270" s="105">
        <f>(J270+L270)*4+K270*9</f>
        <v>31.08</v>
      </c>
    </row>
    <row r="271" spans="2:15" ht="13.5">
      <c r="B271" s="119"/>
      <c r="C271" s="110"/>
      <c r="D271" s="119"/>
      <c r="E271" s="119" t="s">
        <v>128</v>
      </c>
      <c r="F271" s="119">
        <v>3</v>
      </c>
      <c r="G271" s="119">
        <v>3</v>
      </c>
      <c r="H271" s="119">
        <f>R54</f>
        <v>23</v>
      </c>
      <c r="I271" s="109">
        <f>F271*H271/1000</f>
        <v>0.07</v>
      </c>
      <c r="J271" s="109"/>
      <c r="K271" s="109"/>
      <c r="L271" s="109"/>
      <c r="M271" s="116"/>
      <c r="N271" s="141"/>
      <c r="O271" s="89"/>
    </row>
    <row r="272" spans="2:15" ht="13.5">
      <c r="B272" s="119"/>
      <c r="C272" s="110"/>
      <c r="D272" s="119"/>
      <c r="E272" s="119" t="s">
        <v>93</v>
      </c>
      <c r="F272" s="119">
        <v>0.02</v>
      </c>
      <c r="G272" s="119">
        <v>0.02</v>
      </c>
      <c r="H272" s="119">
        <f>R59</f>
        <v>508</v>
      </c>
      <c r="I272" s="109">
        <f>F272*H272/1000</f>
        <v>0.01</v>
      </c>
      <c r="J272" s="109"/>
      <c r="K272" s="109"/>
      <c r="L272" s="109"/>
      <c r="M272" s="116"/>
      <c r="N272" s="141"/>
      <c r="O272" s="89"/>
    </row>
    <row r="273" spans="2:15" ht="13.5">
      <c r="B273" s="119"/>
      <c r="C273" s="226" t="s">
        <v>203</v>
      </c>
      <c r="D273" s="162">
        <f>SUM(D251:D272)</f>
        <v>760</v>
      </c>
      <c r="E273" s="110"/>
      <c r="F273" s="119"/>
      <c r="G273" s="119"/>
      <c r="H273" s="181"/>
      <c r="I273" s="163">
        <f>SUM(I251:I272)</f>
        <v>65.07</v>
      </c>
      <c r="J273" s="163">
        <f>SUM(J251:J272)</f>
        <v>22.99</v>
      </c>
      <c r="K273" s="163">
        <f>SUM(K251:K272)</f>
        <v>19.23</v>
      </c>
      <c r="L273" s="163">
        <f>SUM(L251:L272)</f>
        <v>108.59</v>
      </c>
      <c r="M273" s="163">
        <f>SUM(M251:M272)</f>
        <v>699.39</v>
      </c>
      <c r="N273" s="156"/>
      <c r="O273" s="89">
        <f>(J273+L273)*4+K273*9</f>
        <v>699.39</v>
      </c>
    </row>
    <row r="274" spans="2:15" ht="13.5">
      <c r="B274" s="268" t="s">
        <v>204</v>
      </c>
      <c r="C274" s="268"/>
      <c r="D274" s="268"/>
      <c r="E274" s="268"/>
      <c r="F274" s="268"/>
      <c r="G274" s="268"/>
      <c r="H274" s="268"/>
      <c r="I274" s="268"/>
      <c r="J274" s="163">
        <f>SUM(J249+J273)</f>
        <v>52.33</v>
      </c>
      <c r="K274" s="163">
        <f>SUM(K249+K273)</f>
        <v>66.26</v>
      </c>
      <c r="L274" s="163">
        <f>SUM(L249+L273)</f>
        <v>186.22</v>
      </c>
      <c r="M274" s="163">
        <f>SUM(M249+M273)</f>
        <v>1550.54</v>
      </c>
      <c r="N274" s="205"/>
      <c r="O274" s="89">
        <f>(J274+L274)*4+K274*9</f>
        <v>1550.54</v>
      </c>
    </row>
    <row r="275" spans="2:15" ht="13.5">
      <c r="B275" s="173"/>
      <c r="C275" s="169"/>
      <c r="D275" s="173"/>
      <c r="E275" s="173"/>
      <c r="O275" s="89"/>
    </row>
    <row r="276" spans="2:15" ht="13.5">
      <c r="B276" s="173"/>
      <c r="C276" s="169" t="s">
        <v>39</v>
      </c>
      <c r="D276" s="189"/>
      <c r="E276" s="173"/>
      <c r="O276" s="89"/>
    </row>
    <row r="277" spans="2:15" ht="27">
      <c r="B277" s="265" t="s">
        <v>3</v>
      </c>
      <c r="C277" s="112"/>
      <c r="D277" s="112" t="s">
        <v>4</v>
      </c>
      <c r="E277" s="265" t="s">
        <v>28</v>
      </c>
      <c r="F277" s="135" t="s">
        <v>12</v>
      </c>
      <c r="G277" s="135" t="s">
        <v>56</v>
      </c>
      <c r="H277" s="135" t="s">
        <v>29</v>
      </c>
      <c r="I277" s="135" t="s">
        <v>30</v>
      </c>
      <c r="J277" s="262" t="s">
        <v>69</v>
      </c>
      <c r="K277" s="262" t="s">
        <v>70</v>
      </c>
      <c r="L277" s="262" t="s">
        <v>71</v>
      </c>
      <c r="M277" s="257" t="s">
        <v>72</v>
      </c>
      <c r="N277" s="259" t="s">
        <v>161</v>
      </c>
      <c r="O277" s="89"/>
    </row>
    <row r="278" spans="2:15" ht="13.5">
      <c r="B278" s="266"/>
      <c r="C278" s="138" t="s">
        <v>154</v>
      </c>
      <c r="D278" s="112" t="s">
        <v>31</v>
      </c>
      <c r="E278" s="260"/>
      <c r="F278" s="119" t="s">
        <v>31</v>
      </c>
      <c r="G278" s="119" t="s">
        <v>31</v>
      </c>
      <c r="H278" s="119" t="s">
        <v>32</v>
      </c>
      <c r="I278" s="119" t="s">
        <v>33</v>
      </c>
      <c r="J278" s="263"/>
      <c r="K278" s="263"/>
      <c r="L278" s="263"/>
      <c r="M278" s="269"/>
      <c r="N278" s="264"/>
      <c r="O278" s="89"/>
    </row>
    <row r="279" spans="2:15" ht="13.5">
      <c r="B279" s="119">
        <v>1</v>
      </c>
      <c r="C279" s="4" t="s">
        <v>83</v>
      </c>
      <c r="D279" s="5">
        <v>200</v>
      </c>
      <c r="E279" s="5" t="s">
        <v>75</v>
      </c>
      <c r="F279" s="149">
        <v>104</v>
      </c>
      <c r="G279" s="149">
        <v>99</v>
      </c>
      <c r="H279" s="119">
        <f>R7</f>
        <v>258</v>
      </c>
      <c r="I279" s="109">
        <f aca="true" t="shared" si="18" ref="I279:I291">H279*F279/1000</f>
        <v>26.83</v>
      </c>
      <c r="J279" s="203"/>
      <c r="K279" s="203"/>
      <c r="L279" s="203"/>
      <c r="M279" s="208"/>
      <c r="N279" s="209"/>
      <c r="O279" s="89"/>
    </row>
    <row r="280" spans="2:15" ht="13.5">
      <c r="B280" s="153"/>
      <c r="C280" s="4"/>
      <c r="D280" s="6"/>
      <c r="E280" s="5" t="s">
        <v>26</v>
      </c>
      <c r="F280" s="149">
        <v>8</v>
      </c>
      <c r="G280" s="149">
        <v>8</v>
      </c>
      <c r="H280" s="141">
        <f>R34</f>
        <v>147</v>
      </c>
      <c r="I280" s="109">
        <f>H280*F280/1000</f>
        <v>1.18</v>
      </c>
      <c r="J280" s="203"/>
      <c r="K280" s="203"/>
      <c r="L280" s="203"/>
      <c r="M280" s="208"/>
      <c r="N280" s="209"/>
      <c r="O280" s="89"/>
    </row>
    <row r="281" spans="2:15" ht="13.5">
      <c r="B281" s="153"/>
      <c r="C281" s="4"/>
      <c r="D281" s="6"/>
      <c r="E281" s="5" t="s">
        <v>24</v>
      </c>
      <c r="F281" s="149">
        <v>13</v>
      </c>
      <c r="G281" s="149">
        <v>11</v>
      </c>
      <c r="H281" s="141">
        <f>R19</f>
        <v>49</v>
      </c>
      <c r="I281" s="109">
        <f>H281*F281/1000</f>
        <v>0.64</v>
      </c>
      <c r="J281" s="109"/>
      <c r="K281" s="109"/>
      <c r="L281" s="109"/>
      <c r="M281" s="116"/>
      <c r="N281" s="141"/>
      <c r="O281" s="89"/>
    </row>
    <row r="282" spans="2:15" ht="13.5">
      <c r="B282" s="153"/>
      <c r="C282" s="4"/>
      <c r="D282" s="5"/>
      <c r="E282" s="5" t="s">
        <v>8</v>
      </c>
      <c r="F282" s="149">
        <v>14</v>
      </c>
      <c r="G282" s="149">
        <v>12</v>
      </c>
      <c r="H282" s="141">
        <f>R20</f>
        <v>67</v>
      </c>
      <c r="I282" s="109">
        <f>H282*F282/1000</f>
        <v>0.94</v>
      </c>
      <c r="J282" s="109"/>
      <c r="K282" s="109"/>
      <c r="L282" s="109"/>
      <c r="M282" s="116"/>
      <c r="N282" s="141"/>
      <c r="O282" s="89"/>
    </row>
    <row r="283" spans="2:15" ht="13.5">
      <c r="B283" s="153"/>
      <c r="C283" s="4"/>
      <c r="D283" s="5"/>
      <c r="E283" s="5" t="s">
        <v>18</v>
      </c>
      <c r="F283" s="149">
        <v>2</v>
      </c>
      <c r="G283" s="149">
        <v>2</v>
      </c>
      <c r="H283" s="119">
        <f>R25</f>
        <v>124</v>
      </c>
      <c r="I283" s="109">
        <f t="shared" si="18"/>
        <v>0.25</v>
      </c>
      <c r="J283" s="109"/>
      <c r="K283" s="109"/>
      <c r="L283" s="109"/>
      <c r="M283" s="116"/>
      <c r="N283" s="141"/>
      <c r="O283" s="89"/>
    </row>
    <row r="284" spans="2:15" ht="13.5">
      <c r="B284" s="153"/>
      <c r="C284" s="4"/>
      <c r="D284" s="5"/>
      <c r="E284" s="5" t="s">
        <v>1</v>
      </c>
      <c r="F284" s="149">
        <v>44</v>
      </c>
      <c r="G284" s="149">
        <v>44</v>
      </c>
      <c r="H284" s="119">
        <f>R43</f>
        <v>100</v>
      </c>
      <c r="I284" s="109">
        <f t="shared" si="18"/>
        <v>4.4</v>
      </c>
      <c r="J284" s="109">
        <v>23.8</v>
      </c>
      <c r="K284" s="109">
        <v>29.6</v>
      </c>
      <c r="L284" s="109">
        <v>30.3</v>
      </c>
      <c r="M284" s="116">
        <v>482.8</v>
      </c>
      <c r="N284" s="141">
        <v>705</v>
      </c>
      <c r="O284" s="89">
        <f>(J284+L284)*4+K284*9</f>
        <v>482.8</v>
      </c>
    </row>
    <row r="285" spans="2:15" ht="13.5">
      <c r="B285" s="145">
        <v>2</v>
      </c>
      <c r="C285" s="110" t="s">
        <v>153</v>
      </c>
      <c r="D285" s="119">
        <v>50</v>
      </c>
      <c r="E285" s="119" t="s">
        <v>19</v>
      </c>
      <c r="F285" s="119">
        <v>50</v>
      </c>
      <c r="G285" s="119">
        <v>50</v>
      </c>
      <c r="H285" s="119">
        <f>R60</f>
        <v>48</v>
      </c>
      <c r="I285" s="184">
        <f t="shared" si="18"/>
        <v>2.4</v>
      </c>
      <c r="J285" s="109">
        <v>3.35</v>
      </c>
      <c r="K285" s="109">
        <v>0.35</v>
      </c>
      <c r="L285" s="109">
        <v>25.15</v>
      </c>
      <c r="M285" s="116">
        <v>117.15</v>
      </c>
      <c r="N285" s="141"/>
      <c r="O285" s="89">
        <f>(J285+L285)*4+K285*9</f>
        <v>117.15</v>
      </c>
    </row>
    <row r="286" spans="2:15" ht="13.5">
      <c r="B286" s="119">
        <v>3</v>
      </c>
      <c r="C286" s="139" t="s">
        <v>65</v>
      </c>
      <c r="D286" s="119">
        <v>10</v>
      </c>
      <c r="E286" s="119" t="s">
        <v>27</v>
      </c>
      <c r="F286" s="119">
        <v>10</v>
      </c>
      <c r="G286" s="119">
        <v>10</v>
      </c>
      <c r="H286" s="119">
        <f>R11</f>
        <v>481</v>
      </c>
      <c r="I286" s="184">
        <f t="shared" si="18"/>
        <v>4.81</v>
      </c>
      <c r="J286" s="147">
        <v>0.04</v>
      </c>
      <c r="K286" s="147">
        <v>7.85</v>
      </c>
      <c r="L286" s="147">
        <v>0.05</v>
      </c>
      <c r="M286" s="116">
        <v>71.01</v>
      </c>
      <c r="N286" s="148"/>
      <c r="O286" s="89">
        <f>(J286+L286)*4+K286*9</f>
        <v>71.01</v>
      </c>
    </row>
    <row r="287" spans="2:15" ht="13.5">
      <c r="B287" s="119">
        <v>4</v>
      </c>
      <c r="C287" s="139" t="s">
        <v>141</v>
      </c>
      <c r="D287" s="145">
        <v>200</v>
      </c>
      <c r="E287" s="119" t="s">
        <v>142</v>
      </c>
      <c r="F287" s="119">
        <v>3</v>
      </c>
      <c r="G287" s="119">
        <v>3</v>
      </c>
      <c r="H287" s="119">
        <f>R57</f>
        <v>409</v>
      </c>
      <c r="I287" s="184">
        <f t="shared" si="18"/>
        <v>1.23</v>
      </c>
      <c r="J287" s="210"/>
      <c r="K287" s="210"/>
      <c r="L287" s="210"/>
      <c r="M287" s="152"/>
      <c r="N287" s="148"/>
      <c r="O287" s="89"/>
    </row>
    <row r="288" spans="2:15" ht="13.5">
      <c r="B288" s="119"/>
      <c r="C288" s="139"/>
      <c r="D288" s="145"/>
      <c r="E288" s="119" t="s">
        <v>10</v>
      </c>
      <c r="F288" s="119">
        <v>85</v>
      </c>
      <c r="G288" s="119">
        <v>85</v>
      </c>
      <c r="H288" s="119">
        <f>R10</f>
        <v>68</v>
      </c>
      <c r="I288" s="184">
        <f t="shared" si="18"/>
        <v>5.78</v>
      </c>
      <c r="J288" s="210"/>
      <c r="K288" s="210"/>
      <c r="L288" s="210"/>
      <c r="M288" s="152"/>
      <c r="N288" s="148"/>
      <c r="O288" s="89"/>
    </row>
    <row r="289" spans="2:15" ht="13.5">
      <c r="B289" s="119"/>
      <c r="C289" s="190"/>
      <c r="D289" s="111"/>
      <c r="E289" s="112" t="s">
        <v>2</v>
      </c>
      <c r="F289" s="119">
        <v>13</v>
      </c>
      <c r="G289" s="119">
        <v>13</v>
      </c>
      <c r="H289" s="119">
        <f>R50</f>
        <v>94</v>
      </c>
      <c r="I289" s="184">
        <f t="shared" si="18"/>
        <v>1.22</v>
      </c>
      <c r="J289" s="109">
        <v>2.52</v>
      </c>
      <c r="K289" s="109">
        <v>3.15</v>
      </c>
      <c r="L289" s="109">
        <v>17.48</v>
      </c>
      <c r="M289" s="116">
        <v>108.35</v>
      </c>
      <c r="N289" s="141">
        <v>1011</v>
      </c>
      <c r="O289" s="89">
        <f>(J289+L289)*4+K289*9</f>
        <v>108.35</v>
      </c>
    </row>
    <row r="290" spans="2:15" ht="13.5">
      <c r="B290" s="119">
        <v>5</v>
      </c>
      <c r="C290" s="110" t="s">
        <v>145</v>
      </c>
      <c r="D290" s="145">
        <v>100</v>
      </c>
      <c r="E290" s="119" t="s">
        <v>146</v>
      </c>
      <c r="F290" s="119">
        <v>100</v>
      </c>
      <c r="G290" s="119"/>
      <c r="H290" s="119">
        <f>R29</f>
        <v>153</v>
      </c>
      <c r="I290" s="184">
        <f t="shared" si="18"/>
        <v>15.3</v>
      </c>
      <c r="J290" s="109">
        <v>1.5</v>
      </c>
      <c r="K290" s="109">
        <v>0.5</v>
      </c>
      <c r="L290" s="109">
        <v>8</v>
      </c>
      <c r="M290" s="116">
        <v>42.5</v>
      </c>
      <c r="N290" s="141"/>
      <c r="O290" s="89">
        <f>(J290+L290)*4+K290*9</f>
        <v>42.5</v>
      </c>
    </row>
    <row r="291" spans="2:15" ht="13.5">
      <c r="B291" s="119"/>
      <c r="C291" s="110"/>
      <c r="D291" s="145"/>
      <c r="E291" s="119" t="s">
        <v>128</v>
      </c>
      <c r="F291" s="119">
        <v>4</v>
      </c>
      <c r="G291" s="119">
        <v>4</v>
      </c>
      <c r="H291" s="119">
        <f>R54</f>
        <v>23</v>
      </c>
      <c r="I291" s="184">
        <f t="shared" si="18"/>
        <v>0.09</v>
      </c>
      <c r="J291" s="109"/>
      <c r="K291" s="109"/>
      <c r="L291" s="109"/>
      <c r="M291" s="116"/>
      <c r="N291" s="141"/>
      <c r="O291" s="89"/>
    </row>
    <row r="292" spans="2:15" ht="13.5">
      <c r="B292" s="119"/>
      <c r="C292" s="226" t="s">
        <v>202</v>
      </c>
      <c r="D292" s="162">
        <f>SUM(D279:D291)</f>
        <v>560</v>
      </c>
      <c r="E292" s="119"/>
      <c r="F292" s="119"/>
      <c r="G292" s="119"/>
      <c r="H292" s="121"/>
      <c r="I292" s="163">
        <f>SUM(I279:I291)</f>
        <v>65.07</v>
      </c>
      <c r="J292" s="163">
        <f>SUM(J279:J291)</f>
        <v>31.21</v>
      </c>
      <c r="K292" s="163">
        <f>SUM(K279:K291)</f>
        <v>41.45</v>
      </c>
      <c r="L292" s="163">
        <f>SUM(L279:L291)</f>
        <v>80.98</v>
      </c>
      <c r="M292" s="163">
        <f>SUM(M279:M291)</f>
        <v>821.81</v>
      </c>
      <c r="N292" s="156"/>
      <c r="O292" s="89">
        <f>(J292+L292)*4+K292*9</f>
        <v>821.81</v>
      </c>
    </row>
    <row r="293" spans="2:15" ht="13.5">
      <c r="B293" s="119"/>
      <c r="C293" s="157" t="s">
        <v>155</v>
      </c>
      <c r="D293" s="112"/>
      <c r="E293" s="112"/>
      <c r="F293" s="119"/>
      <c r="G293" s="119"/>
      <c r="H293" s="119"/>
      <c r="I293" s="109"/>
      <c r="J293" s="109"/>
      <c r="K293" s="109"/>
      <c r="L293" s="109"/>
      <c r="M293" s="116"/>
      <c r="N293" s="141"/>
      <c r="O293" s="89"/>
    </row>
    <row r="294" spans="2:15" ht="13.5">
      <c r="B294" s="119">
        <v>1</v>
      </c>
      <c r="C294" s="139" t="s">
        <v>74</v>
      </c>
      <c r="D294" s="119">
        <v>200</v>
      </c>
      <c r="E294" s="112" t="s">
        <v>7</v>
      </c>
      <c r="F294" s="119">
        <v>89</v>
      </c>
      <c r="G294" s="119">
        <v>64</v>
      </c>
      <c r="H294" s="119">
        <f>R16</f>
        <v>58</v>
      </c>
      <c r="I294" s="109">
        <f>H294*F294/1000</f>
        <v>5.16</v>
      </c>
      <c r="J294" s="109"/>
      <c r="K294" s="109"/>
      <c r="L294" s="109"/>
      <c r="M294" s="116"/>
      <c r="N294" s="141"/>
      <c r="O294" s="89"/>
    </row>
    <row r="295" spans="2:15" ht="13.5">
      <c r="B295" s="153"/>
      <c r="C295" s="139" t="s">
        <v>184</v>
      </c>
      <c r="D295" s="119"/>
      <c r="E295" s="119" t="s">
        <v>76</v>
      </c>
      <c r="F295" s="119">
        <v>9</v>
      </c>
      <c r="G295" s="119">
        <v>9</v>
      </c>
      <c r="H295" s="119">
        <f>R52</f>
        <v>67</v>
      </c>
      <c r="I295" s="109">
        <f>H295*F295/1000</f>
        <v>0.6</v>
      </c>
      <c r="J295" s="109"/>
      <c r="K295" s="109"/>
      <c r="L295" s="109"/>
      <c r="M295" s="116"/>
      <c r="N295" s="141"/>
      <c r="O295" s="89"/>
    </row>
    <row r="296" spans="2:15" ht="13.5">
      <c r="B296" s="153"/>
      <c r="C296" s="139"/>
      <c r="D296" s="119"/>
      <c r="E296" s="119" t="s">
        <v>8</v>
      </c>
      <c r="F296" s="119">
        <v>13</v>
      </c>
      <c r="G296" s="119">
        <v>11</v>
      </c>
      <c r="H296" s="119">
        <f>R20</f>
        <v>67</v>
      </c>
      <c r="I296" s="109">
        <f>H296*F296/1000</f>
        <v>0.87</v>
      </c>
      <c r="J296" s="109"/>
      <c r="K296" s="109"/>
      <c r="L296" s="109"/>
      <c r="M296" s="116"/>
      <c r="N296" s="141"/>
      <c r="O296" s="89"/>
    </row>
    <row r="297" spans="2:15" ht="13.5">
      <c r="B297" s="153"/>
      <c r="C297" s="139"/>
      <c r="D297" s="119"/>
      <c r="E297" s="119" t="s">
        <v>24</v>
      </c>
      <c r="F297" s="119">
        <v>12</v>
      </c>
      <c r="G297" s="119">
        <v>11</v>
      </c>
      <c r="H297" s="119">
        <f>R19</f>
        <v>49</v>
      </c>
      <c r="I297" s="109">
        <f>H297*F297/1000</f>
        <v>0.59</v>
      </c>
      <c r="J297" s="109"/>
      <c r="K297" s="109"/>
      <c r="L297" s="109"/>
      <c r="M297" s="116"/>
      <c r="N297" s="141"/>
      <c r="O297" s="89"/>
    </row>
    <row r="298" spans="2:15" ht="13.5">
      <c r="B298" s="153"/>
      <c r="C298" s="139"/>
      <c r="D298" s="119"/>
      <c r="E298" s="119" t="s">
        <v>26</v>
      </c>
      <c r="F298" s="119">
        <v>6</v>
      </c>
      <c r="G298" s="119">
        <v>6</v>
      </c>
      <c r="H298" s="119">
        <f>R34</f>
        <v>147</v>
      </c>
      <c r="I298" s="109">
        <f>H298*F298/1000</f>
        <v>0.88</v>
      </c>
      <c r="J298" s="109">
        <v>2.48</v>
      </c>
      <c r="K298" s="109">
        <v>4.32</v>
      </c>
      <c r="L298" s="109">
        <v>15.75</v>
      </c>
      <c r="M298" s="116">
        <v>111.8</v>
      </c>
      <c r="N298" s="141">
        <v>219</v>
      </c>
      <c r="O298" s="89">
        <f>(J298+L298)*4+K298*9</f>
        <v>111.8</v>
      </c>
    </row>
    <row r="299" spans="2:15" ht="13.5">
      <c r="B299" s="119">
        <v>2</v>
      </c>
      <c r="C299" s="4" t="s">
        <v>83</v>
      </c>
      <c r="D299" s="5">
        <v>200</v>
      </c>
      <c r="E299" s="5" t="s">
        <v>75</v>
      </c>
      <c r="F299" s="149">
        <v>106</v>
      </c>
      <c r="G299" s="149">
        <v>99</v>
      </c>
      <c r="H299" s="211">
        <f>R7</f>
        <v>258</v>
      </c>
      <c r="I299" s="109">
        <f aca="true" t="shared" si="19" ref="I299:I304">H299*F299/1000</f>
        <v>27.35</v>
      </c>
      <c r="J299" s="109"/>
      <c r="K299" s="109"/>
      <c r="L299" s="109"/>
      <c r="M299" s="116"/>
      <c r="N299" s="141"/>
      <c r="O299" s="89"/>
    </row>
    <row r="300" spans="2:15" ht="13.5">
      <c r="B300" s="119"/>
      <c r="C300" s="4"/>
      <c r="D300" s="6"/>
      <c r="E300" s="5" t="s">
        <v>26</v>
      </c>
      <c r="F300" s="149">
        <v>8</v>
      </c>
      <c r="G300" s="149">
        <v>8</v>
      </c>
      <c r="H300" s="211">
        <f>R34</f>
        <v>147</v>
      </c>
      <c r="I300" s="109">
        <f t="shared" si="19"/>
        <v>1.18</v>
      </c>
      <c r="J300" s="109"/>
      <c r="K300" s="109"/>
      <c r="L300" s="109"/>
      <c r="M300" s="116"/>
      <c r="N300" s="141"/>
      <c r="O300" s="89"/>
    </row>
    <row r="301" spans="2:15" ht="13.5">
      <c r="B301" s="119"/>
      <c r="C301" s="4"/>
      <c r="D301" s="6"/>
      <c r="E301" s="5" t="s">
        <v>24</v>
      </c>
      <c r="F301" s="149">
        <v>14</v>
      </c>
      <c r="G301" s="149">
        <v>13</v>
      </c>
      <c r="H301" s="211">
        <f>R19</f>
        <v>49</v>
      </c>
      <c r="I301" s="109">
        <f t="shared" si="19"/>
        <v>0.69</v>
      </c>
      <c r="J301" s="109"/>
      <c r="K301" s="109"/>
      <c r="L301" s="109"/>
      <c r="M301" s="116"/>
      <c r="N301" s="141"/>
      <c r="O301" s="89"/>
    </row>
    <row r="302" spans="2:15" ht="13.5">
      <c r="B302" s="119"/>
      <c r="C302" s="4"/>
      <c r="D302" s="5"/>
      <c r="E302" s="5" t="s">
        <v>8</v>
      </c>
      <c r="F302" s="149">
        <v>14</v>
      </c>
      <c r="G302" s="149">
        <v>12</v>
      </c>
      <c r="H302" s="141">
        <f>R20</f>
        <v>67</v>
      </c>
      <c r="I302" s="109">
        <f>H302*F302/1000</f>
        <v>0.94</v>
      </c>
      <c r="J302" s="109"/>
      <c r="K302" s="109"/>
      <c r="L302" s="109"/>
      <c r="M302" s="116"/>
      <c r="N302" s="141"/>
      <c r="O302" s="89"/>
    </row>
    <row r="303" spans="2:15" ht="13.5">
      <c r="B303" s="119"/>
      <c r="C303" s="4"/>
      <c r="D303" s="5"/>
      <c r="E303" s="5" t="s">
        <v>18</v>
      </c>
      <c r="F303" s="149">
        <v>3</v>
      </c>
      <c r="G303" s="149">
        <v>3</v>
      </c>
      <c r="H303" s="211">
        <f>R25</f>
        <v>124</v>
      </c>
      <c r="I303" s="109">
        <f t="shared" si="19"/>
        <v>0.37</v>
      </c>
      <c r="J303" s="109"/>
      <c r="K303" s="109"/>
      <c r="L303" s="109"/>
      <c r="M303" s="116"/>
      <c r="N303" s="141"/>
      <c r="O303" s="89"/>
    </row>
    <row r="304" spans="2:15" ht="13.5">
      <c r="B304" s="119"/>
      <c r="C304" s="4"/>
      <c r="D304" s="5"/>
      <c r="E304" s="5" t="s">
        <v>1</v>
      </c>
      <c r="F304" s="149">
        <v>47</v>
      </c>
      <c r="G304" s="149">
        <v>47</v>
      </c>
      <c r="H304" s="211">
        <f>R43</f>
        <v>100</v>
      </c>
      <c r="I304" s="109">
        <f t="shared" si="19"/>
        <v>4.7</v>
      </c>
      <c r="J304" s="109">
        <v>23.8</v>
      </c>
      <c r="K304" s="109">
        <v>29.6</v>
      </c>
      <c r="L304" s="109">
        <v>30.3</v>
      </c>
      <c r="M304" s="116">
        <v>482.8</v>
      </c>
      <c r="N304" s="141">
        <v>705</v>
      </c>
      <c r="O304" s="89">
        <f>(J304+L304)*4+K304*9</f>
        <v>482.8</v>
      </c>
    </row>
    <row r="305" spans="2:22" ht="13.5">
      <c r="B305" s="112">
        <v>3</v>
      </c>
      <c r="C305" s="110" t="s">
        <v>34</v>
      </c>
      <c r="D305" s="119">
        <v>60</v>
      </c>
      <c r="E305" s="119" t="s">
        <v>19</v>
      </c>
      <c r="F305" s="121">
        <v>60</v>
      </c>
      <c r="G305" s="121">
        <v>60</v>
      </c>
      <c r="H305" s="121">
        <f>R60</f>
        <v>48</v>
      </c>
      <c r="I305" s="109">
        <f>H305*F305/1000</f>
        <v>2.88</v>
      </c>
      <c r="J305" s="109">
        <v>4.02</v>
      </c>
      <c r="K305" s="109">
        <v>0.42</v>
      </c>
      <c r="L305" s="109">
        <v>30.18</v>
      </c>
      <c r="M305" s="116">
        <v>140.58</v>
      </c>
      <c r="N305" s="141"/>
      <c r="O305" s="89">
        <f>(J305+L305)*4+K305*9</f>
        <v>140.58</v>
      </c>
      <c r="S305" s="8"/>
      <c r="T305" s="8"/>
      <c r="U305" s="8"/>
      <c r="V305" s="9"/>
    </row>
    <row r="306" spans="2:22" s="34" customFormat="1" ht="13.5">
      <c r="B306" s="158">
        <v>4</v>
      </c>
      <c r="C306" s="178" t="s">
        <v>25</v>
      </c>
      <c r="D306" s="121">
        <v>200</v>
      </c>
      <c r="E306" s="121" t="s">
        <v>20</v>
      </c>
      <c r="F306" s="121">
        <v>15</v>
      </c>
      <c r="G306" s="121">
        <v>15</v>
      </c>
      <c r="H306" s="121">
        <f>R30</f>
        <v>149</v>
      </c>
      <c r="I306" s="147">
        <f>H306*F306/1000</f>
        <v>2.24</v>
      </c>
      <c r="J306" s="147"/>
      <c r="K306" s="147"/>
      <c r="L306" s="147"/>
      <c r="M306" s="147"/>
      <c r="N306" s="148"/>
      <c r="O306" s="105"/>
      <c r="S306" s="12"/>
      <c r="T306" s="12"/>
      <c r="U306" s="12"/>
      <c r="V306" s="230"/>
    </row>
    <row r="307" spans="2:22" s="34" customFormat="1" ht="13.5">
      <c r="B307" s="158"/>
      <c r="C307" s="121"/>
      <c r="D307" s="121"/>
      <c r="E307" s="121" t="s">
        <v>2</v>
      </c>
      <c r="F307" s="121">
        <v>13</v>
      </c>
      <c r="G307" s="121">
        <v>13</v>
      </c>
      <c r="H307" s="121">
        <f>R50</f>
        <v>94</v>
      </c>
      <c r="I307" s="147">
        <f>H307*F307/1000</f>
        <v>1.22</v>
      </c>
      <c r="J307" s="147">
        <v>1.04</v>
      </c>
      <c r="K307" s="147">
        <v>0</v>
      </c>
      <c r="L307" s="147">
        <v>26.96</v>
      </c>
      <c r="M307" s="147">
        <v>112</v>
      </c>
      <c r="N307" s="148">
        <v>933</v>
      </c>
      <c r="O307" s="105">
        <f>(J307+L307)*4+K307*9</f>
        <v>112</v>
      </c>
      <c r="S307" s="12"/>
      <c r="T307" s="12"/>
      <c r="U307" s="12"/>
      <c r="V307" s="230"/>
    </row>
    <row r="308" spans="2:22" s="34" customFormat="1" ht="13.5">
      <c r="B308" s="158"/>
      <c r="C308" s="207"/>
      <c r="D308" s="121"/>
      <c r="E308" s="121" t="s">
        <v>103</v>
      </c>
      <c r="F308" s="121">
        <v>0.0005</v>
      </c>
      <c r="G308" s="121">
        <v>0.0005</v>
      </c>
      <c r="H308" s="121"/>
      <c r="I308" s="147"/>
      <c r="J308" s="147"/>
      <c r="K308" s="147"/>
      <c r="L308" s="147"/>
      <c r="M308" s="147"/>
      <c r="N308" s="148"/>
      <c r="O308" s="105"/>
      <c r="S308" s="12"/>
      <c r="T308" s="12"/>
      <c r="U308" s="12"/>
      <c r="V308" s="230"/>
    </row>
    <row r="309" spans="2:18" ht="13.5">
      <c r="B309" s="119">
        <v>5</v>
      </c>
      <c r="C309" s="110" t="s">
        <v>145</v>
      </c>
      <c r="D309" s="119">
        <v>100</v>
      </c>
      <c r="E309" s="119" t="s">
        <v>146</v>
      </c>
      <c r="F309" s="119">
        <v>100</v>
      </c>
      <c r="G309" s="119"/>
      <c r="H309" s="119">
        <f>R29</f>
        <v>153</v>
      </c>
      <c r="I309" s="109">
        <f>H309*F309/1000</f>
        <v>15.3</v>
      </c>
      <c r="J309" s="109">
        <v>1.5</v>
      </c>
      <c r="K309" s="109">
        <v>0.5</v>
      </c>
      <c r="L309" s="109">
        <v>8</v>
      </c>
      <c r="M309" s="116">
        <v>42.5</v>
      </c>
      <c r="N309" s="141"/>
      <c r="O309" s="89">
        <f>(J309+L309)*4+K309*9</f>
        <v>42.5</v>
      </c>
      <c r="P309" s="10"/>
      <c r="Q309" s="10"/>
      <c r="R309" s="14"/>
    </row>
    <row r="310" spans="2:18" ht="13.5">
      <c r="B310" s="112"/>
      <c r="C310" s="110"/>
      <c r="D310" s="119"/>
      <c r="E310" s="119" t="s">
        <v>128</v>
      </c>
      <c r="F310" s="119">
        <v>4</v>
      </c>
      <c r="G310" s="119">
        <v>4</v>
      </c>
      <c r="H310" s="119">
        <f>R54</f>
        <v>23</v>
      </c>
      <c r="I310" s="109">
        <f>H310*F310/1000</f>
        <v>0.09</v>
      </c>
      <c r="J310" s="109"/>
      <c r="K310" s="109"/>
      <c r="L310" s="109"/>
      <c r="M310" s="116"/>
      <c r="N310" s="141"/>
      <c r="O310" s="89"/>
      <c r="P310" s="10"/>
      <c r="Q310" s="10"/>
      <c r="R310" s="14"/>
    </row>
    <row r="311" spans="2:18" ht="13.5">
      <c r="B311" s="112"/>
      <c r="C311" s="110"/>
      <c r="D311" s="119"/>
      <c r="E311" s="119" t="s">
        <v>93</v>
      </c>
      <c r="F311" s="119">
        <v>0.02</v>
      </c>
      <c r="G311" s="119">
        <v>0.02</v>
      </c>
      <c r="H311" s="119">
        <f>R59</f>
        <v>508</v>
      </c>
      <c r="I311" s="109">
        <f>H311*F311/1000</f>
        <v>0.01</v>
      </c>
      <c r="J311" s="109"/>
      <c r="K311" s="109"/>
      <c r="L311" s="109"/>
      <c r="M311" s="116"/>
      <c r="N311" s="141"/>
      <c r="O311" s="89"/>
      <c r="P311" s="10"/>
      <c r="Q311" s="10"/>
      <c r="R311" s="14"/>
    </row>
    <row r="312" spans="2:18" ht="13.5">
      <c r="B312" s="112"/>
      <c r="C312" s="226" t="s">
        <v>203</v>
      </c>
      <c r="D312" s="162">
        <f>SUM(D294:D311)</f>
        <v>760</v>
      </c>
      <c r="E312" s="119"/>
      <c r="F312" s="121"/>
      <c r="G312" s="121"/>
      <c r="H312" s="121"/>
      <c r="I312" s="163">
        <f>SUM(I294:I311)</f>
        <v>65.07</v>
      </c>
      <c r="J312" s="163">
        <f>SUM(J294:J311)</f>
        <v>32.84</v>
      </c>
      <c r="K312" s="163">
        <f>SUM(K294:K311)</f>
        <v>34.84</v>
      </c>
      <c r="L312" s="163">
        <f>SUM(L294:L311)</f>
        <v>111.19</v>
      </c>
      <c r="M312" s="163">
        <f>SUM(M294:M311)</f>
        <v>889.68</v>
      </c>
      <c r="N312" s="156"/>
      <c r="O312" s="89">
        <f>(J312+L312)*4+K312*9</f>
        <v>889.68</v>
      </c>
      <c r="P312" s="10"/>
      <c r="Q312" s="10"/>
      <c r="R312" s="14"/>
    </row>
    <row r="313" spans="2:18" ht="13.5">
      <c r="B313" s="268" t="s">
        <v>204</v>
      </c>
      <c r="C313" s="268"/>
      <c r="D313" s="268"/>
      <c r="E313" s="268"/>
      <c r="F313" s="268"/>
      <c r="G313" s="268"/>
      <c r="H313" s="268"/>
      <c r="I313" s="268"/>
      <c r="J313" s="163">
        <f>SUM(J292+J312)</f>
        <v>64.05</v>
      </c>
      <c r="K313" s="163">
        <f>SUM(K292+K312)</f>
        <v>76.29</v>
      </c>
      <c r="L313" s="163">
        <f>SUM(L292+L312)</f>
        <v>192.17</v>
      </c>
      <c r="M313" s="163">
        <f>SUM(M292+M312)</f>
        <v>1711.49</v>
      </c>
      <c r="N313" s="205"/>
      <c r="O313" s="89">
        <f>(J313+L313)*4+K313*9</f>
        <v>1711.49</v>
      </c>
      <c r="P313" s="10"/>
      <c r="Q313" s="10"/>
      <c r="R313" s="14"/>
    </row>
    <row r="314" spans="2:18" ht="13.5">
      <c r="B314" s="131"/>
      <c r="C314" s="169"/>
      <c r="D314" s="173"/>
      <c r="E314" s="173"/>
      <c r="O314" s="89"/>
      <c r="P314" s="15"/>
      <c r="Q314" s="15"/>
      <c r="R314" s="14"/>
    </row>
    <row r="315" spans="3:18" ht="13.5">
      <c r="C315" s="188" t="s">
        <v>40</v>
      </c>
      <c r="O315" s="89"/>
      <c r="P315" s="3"/>
      <c r="Q315" s="3"/>
      <c r="R315" s="3"/>
    </row>
    <row r="316" spans="2:18" ht="27">
      <c r="B316" s="265" t="s">
        <v>3</v>
      </c>
      <c r="C316" s="112"/>
      <c r="D316" s="112" t="s">
        <v>4</v>
      </c>
      <c r="E316" s="265" t="s">
        <v>28</v>
      </c>
      <c r="F316" s="135" t="s">
        <v>12</v>
      </c>
      <c r="G316" s="135" t="s">
        <v>56</v>
      </c>
      <c r="H316" s="135" t="s">
        <v>29</v>
      </c>
      <c r="I316" s="135" t="s">
        <v>30</v>
      </c>
      <c r="J316" s="262" t="s">
        <v>69</v>
      </c>
      <c r="K316" s="262" t="s">
        <v>70</v>
      </c>
      <c r="L316" s="262" t="s">
        <v>71</v>
      </c>
      <c r="M316" s="257" t="s">
        <v>72</v>
      </c>
      <c r="N316" s="261" t="s">
        <v>161</v>
      </c>
      <c r="O316" s="89"/>
      <c r="P316" s="3"/>
      <c r="Q316" s="3"/>
      <c r="R316" s="3"/>
    </row>
    <row r="317" spans="2:18" ht="13.5">
      <c r="B317" s="266"/>
      <c r="C317" s="138" t="s">
        <v>154</v>
      </c>
      <c r="D317" s="112" t="s">
        <v>31</v>
      </c>
      <c r="E317" s="260"/>
      <c r="F317" s="119" t="s">
        <v>31</v>
      </c>
      <c r="G317" s="119" t="s">
        <v>31</v>
      </c>
      <c r="H317" s="119" t="s">
        <v>32</v>
      </c>
      <c r="I317" s="119" t="s">
        <v>33</v>
      </c>
      <c r="J317" s="263"/>
      <c r="K317" s="263"/>
      <c r="L317" s="263"/>
      <c r="M317" s="269"/>
      <c r="N317" s="270"/>
      <c r="O317" s="89"/>
      <c r="P317" s="3"/>
      <c r="Q317" s="3"/>
      <c r="R317" s="3"/>
    </row>
    <row r="318" spans="2:18" ht="13.5">
      <c r="B318" s="145">
        <v>1</v>
      </c>
      <c r="C318" s="153" t="s">
        <v>176</v>
      </c>
      <c r="D318" s="119">
        <v>200</v>
      </c>
      <c r="E318" s="112" t="s">
        <v>16</v>
      </c>
      <c r="F318" s="121">
        <v>52</v>
      </c>
      <c r="G318" s="121">
        <v>52</v>
      </c>
      <c r="H318" s="141">
        <f>R6</f>
        <v>603</v>
      </c>
      <c r="I318" s="109">
        <f>F318*H318/1000</f>
        <v>31.36</v>
      </c>
      <c r="J318" s="109"/>
      <c r="K318" s="109"/>
      <c r="L318" s="109"/>
      <c r="M318" s="116"/>
      <c r="N318" s="148"/>
      <c r="O318" s="89"/>
      <c r="P318" s="3"/>
      <c r="Q318" s="3"/>
      <c r="R318" s="3"/>
    </row>
    <row r="319" spans="2:18" ht="13.5">
      <c r="B319" s="145"/>
      <c r="C319" s="153"/>
      <c r="D319" s="119"/>
      <c r="E319" s="112" t="s">
        <v>7</v>
      </c>
      <c r="F319" s="119">
        <v>147</v>
      </c>
      <c r="G319" s="119">
        <v>127</v>
      </c>
      <c r="H319" s="119">
        <f>R16</f>
        <v>58</v>
      </c>
      <c r="I319" s="109">
        <f aca="true" t="shared" si="20" ref="I319:I328">F319*H319/1000</f>
        <v>8.53</v>
      </c>
      <c r="J319" s="109"/>
      <c r="K319" s="109"/>
      <c r="L319" s="109"/>
      <c r="M319" s="116"/>
      <c r="N319" s="148"/>
      <c r="O319" s="89"/>
      <c r="P319" s="3"/>
      <c r="Q319" s="3"/>
      <c r="R319" s="3"/>
    </row>
    <row r="320" spans="2:18" ht="13.5">
      <c r="B320" s="145"/>
      <c r="C320" s="153"/>
      <c r="D320" s="119"/>
      <c r="E320" s="112" t="s">
        <v>6</v>
      </c>
      <c r="F320" s="119">
        <v>13</v>
      </c>
      <c r="G320" s="119">
        <v>12</v>
      </c>
      <c r="H320" s="119">
        <f>R19</f>
        <v>49</v>
      </c>
      <c r="I320" s="109">
        <f t="shared" si="20"/>
        <v>0.64</v>
      </c>
      <c r="J320" s="109"/>
      <c r="K320" s="109"/>
      <c r="L320" s="109"/>
      <c r="M320" s="116"/>
      <c r="N320" s="148"/>
      <c r="O320" s="89"/>
      <c r="P320" s="3"/>
      <c r="Q320" s="3"/>
      <c r="R320" s="3"/>
    </row>
    <row r="321" spans="2:18" ht="13.5">
      <c r="B321" s="145"/>
      <c r="C321" s="153"/>
      <c r="D321" s="119"/>
      <c r="E321" s="112" t="s">
        <v>26</v>
      </c>
      <c r="F321" s="119">
        <v>5</v>
      </c>
      <c r="G321" s="119">
        <v>5</v>
      </c>
      <c r="H321" s="119">
        <f>R34</f>
        <v>147</v>
      </c>
      <c r="I321" s="109">
        <f t="shared" si="20"/>
        <v>0.74</v>
      </c>
      <c r="J321" s="109"/>
      <c r="K321" s="109"/>
      <c r="L321" s="109"/>
      <c r="M321" s="116"/>
      <c r="N321" s="148"/>
      <c r="O321" s="89"/>
      <c r="P321" s="3"/>
      <c r="Q321" s="3"/>
      <c r="R321" s="3"/>
    </row>
    <row r="322" spans="2:15" ht="13.5">
      <c r="B322" s="145"/>
      <c r="C322" s="153"/>
      <c r="D322" s="119"/>
      <c r="E322" s="112" t="s">
        <v>18</v>
      </c>
      <c r="F322" s="119">
        <v>3</v>
      </c>
      <c r="G322" s="119">
        <v>3</v>
      </c>
      <c r="H322" s="119">
        <f>R25</f>
        <v>124</v>
      </c>
      <c r="I322" s="109">
        <f t="shared" si="20"/>
        <v>0.37</v>
      </c>
      <c r="J322" s="109">
        <v>29.61</v>
      </c>
      <c r="K322" s="109">
        <v>20.25</v>
      </c>
      <c r="L322" s="109">
        <v>22.73</v>
      </c>
      <c r="M322" s="116">
        <v>391.61</v>
      </c>
      <c r="N322" s="148">
        <v>631</v>
      </c>
      <c r="O322" s="89">
        <f>(J322+L322)*4+K322*9</f>
        <v>391.61</v>
      </c>
    </row>
    <row r="323" spans="2:15" s="34" customFormat="1" ht="13.5">
      <c r="B323" s="121">
        <v>2</v>
      </c>
      <c r="C323" s="97" t="s">
        <v>163</v>
      </c>
      <c r="D323" s="98">
        <v>60</v>
      </c>
      <c r="E323" s="98" t="s">
        <v>102</v>
      </c>
      <c r="F323" s="143">
        <v>60</v>
      </c>
      <c r="G323" s="143">
        <v>60</v>
      </c>
      <c r="H323" s="121">
        <f>R22</f>
        <v>68</v>
      </c>
      <c r="I323" s="147">
        <f t="shared" si="20"/>
        <v>4.08</v>
      </c>
      <c r="J323" s="147">
        <v>0.36</v>
      </c>
      <c r="K323" s="147">
        <v>0</v>
      </c>
      <c r="L323" s="147">
        <v>0.66</v>
      </c>
      <c r="M323" s="116">
        <v>4.08</v>
      </c>
      <c r="N323" s="148"/>
      <c r="O323" s="105">
        <f>(J323+L323)*4+K323*9</f>
        <v>4.08</v>
      </c>
    </row>
    <row r="324" spans="2:15" ht="13.5">
      <c r="B324" s="145">
        <v>3</v>
      </c>
      <c r="C324" s="153" t="s">
        <v>34</v>
      </c>
      <c r="D324" s="119">
        <v>50</v>
      </c>
      <c r="E324" s="112" t="s">
        <v>19</v>
      </c>
      <c r="F324" s="149">
        <v>50</v>
      </c>
      <c r="G324" s="149">
        <v>50</v>
      </c>
      <c r="H324" s="119">
        <f>R60</f>
        <v>48</v>
      </c>
      <c r="I324" s="109">
        <f t="shared" si="20"/>
        <v>2.4</v>
      </c>
      <c r="J324" s="109">
        <v>3.35</v>
      </c>
      <c r="K324" s="109">
        <v>0.35</v>
      </c>
      <c r="L324" s="109">
        <v>25.15</v>
      </c>
      <c r="M324" s="116">
        <v>117.15</v>
      </c>
      <c r="N324" s="148"/>
      <c r="O324" s="89">
        <f>(J324+L324)*4+K324*9</f>
        <v>117.15</v>
      </c>
    </row>
    <row r="325" spans="2:15" ht="13.5">
      <c r="B325" s="145">
        <v>4</v>
      </c>
      <c r="C325" s="4" t="s">
        <v>13</v>
      </c>
      <c r="D325" s="87">
        <v>200</v>
      </c>
      <c r="E325" s="5" t="s">
        <v>160</v>
      </c>
      <c r="F325" s="212">
        <v>0.9</v>
      </c>
      <c r="G325" s="212">
        <v>0.9</v>
      </c>
      <c r="H325" s="119">
        <f>R58</f>
        <v>514</v>
      </c>
      <c r="I325" s="109">
        <f t="shared" si="20"/>
        <v>0.46</v>
      </c>
      <c r="J325" s="109"/>
      <c r="K325" s="109"/>
      <c r="L325" s="109"/>
      <c r="M325" s="116"/>
      <c r="N325" s="148"/>
      <c r="O325" s="89"/>
    </row>
    <row r="326" spans="2:15" ht="13.5">
      <c r="B326" s="145"/>
      <c r="C326" s="4"/>
      <c r="D326" s="87"/>
      <c r="E326" s="5" t="s">
        <v>2</v>
      </c>
      <c r="F326" s="212">
        <v>12</v>
      </c>
      <c r="G326" s="212">
        <v>12</v>
      </c>
      <c r="H326" s="141">
        <f>R50</f>
        <v>94</v>
      </c>
      <c r="I326" s="109">
        <f>F326*H326/1000</f>
        <v>1.13</v>
      </c>
      <c r="J326" s="109">
        <v>0</v>
      </c>
      <c r="K326" s="109">
        <v>0</v>
      </c>
      <c r="L326" s="109">
        <v>14.92</v>
      </c>
      <c r="M326" s="116">
        <v>59.68</v>
      </c>
      <c r="N326" s="148">
        <v>1009</v>
      </c>
      <c r="O326" s="89">
        <f>(J326+L326)*4+K326*9</f>
        <v>59.68</v>
      </c>
    </row>
    <row r="327" spans="2:15" ht="13.5">
      <c r="B327" s="119">
        <v>5</v>
      </c>
      <c r="C327" s="4" t="s">
        <v>145</v>
      </c>
      <c r="D327" s="87">
        <v>100</v>
      </c>
      <c r="E327" s="5" t="s">
        <v>146</v>
      </c>
      <c r="F327" s="212">
        <v>100</v>
      </c>
      <c r="G327" s="212"/>
      <c r="H327" s="119">
        <f>R29</f>
        <v>153</v>
      </c>
      <c r="I327" s="109">
        <f t="shared" si="20"/>
        <v>15.3</v>
      </c>
      <c r="J327" s="109">
        <v>1.5</v>
      </c>
      <c r="K327" s="109">
        <v>0.5</v>
      </c>
      <c r="L327" s="109">
        <v>8</v>
      </c>
      <c r="M327" s="116">
        <v>42.5</v>
      </c>
      <c r="N327" s="148"/>
      <c r="O327" s="89">
        <f>(J327+L327)*4+K327*9</f>
        <v>42.5</v>
      </c>
    </row>
    <row r="328" spans="2:15" ht="13.5">
      <c r="B328" s="119"/>
      <c r="C328" s="182"/>
      <c r="D328" s="203"/>
      <c r="E328" s="183" t="s">
        <v>128</v>
      </c>
      <c r="F328" s="135">
        <v>2.5</v>
      </c>
      <c r="G328" s="135">
        <v>2.5</v>
      </c>
      <c r="H328" s="119">
        <f>R54</f>
        <v>23</v>
      </c>
      <c r="I328" s="109">
        <f t="shared" si="20"/>
        <v>0.06</v>
      </c>
      <c r="J328" s="109"/>
      <c r="K328" s="109"/>
      <c r="L328" s="109"/>
      <c r="M328" s="116"/>
      <c r="N328" s="148"/>
      <c r="O328" s="89"/>
    </row>
    <row r="329" spans="2:15" ht="13.5">
      <c r="B329" s="153"/>
      <c r="C329" s="226" t="s">
        <v>202</v>
      </c>
      <c r="D329" s="162">
        <f>SUM(D318:D328)</f>
        <v>610</v>
      </c>
      <c r="E329" s="119"/>
      <c r="F329" s="119"/>
      <c r="G329" s="119"/>
      <c r="H329" s="121"/>
      <c r="I329" s="163">
        <f>SUM(I318:I328)</f>
        <v>65.07</v>
      </c>
      <c r="J329" s="163">
        <f>SUM(J318:J328)</f>
        <v>34.82</v>
      </c>
      <c r="K329" s="163">
        <f>SUM(K318:K328)</f>
        <v>21.1</v>
      </c>
      <c r="L329" s="163">
        <f>SUM(L318:L328)</f>
        <v>71.46</v>
      </c>
      <c r="M329" s="163">
        <f>SUM(M318:M328)</f>
        <v>615.02</v>
      </c>
      <c r="N329" s="156"/>
      <c r="O329" s="89">
        <f>(J329+L329)*4+K329*9</f>
        <v>615.02</v>
      </c>
    </row>
    <row r="330" spans="2:15" ht="13.5">
      <c r="B330" s="153"/>
      <c r="C330" s="157" t="s">
        <v>155</v>
      </c>
      <c r="D330" s="119"/>
      <c r="E330" s="153"/>
      <c r="F330" s="119"/>
      <c r="G330" s="119"/>
      <c r="H330" s="119"/>
      <c r="I330" s="109"/>
      <c r="J330" s="109"/>
      <c r="K330" s="109"/>
      <c r="L330" s="109"/>
      <c r="M330" s="116"/>
      <c r="N330" s="148"/>
      <c r="O330" s="89"/>
    </row>
    <row r="331" spans="2:15" ht="13.5">
      <c r="B331" s="119">
        <v>1</v>
      </c>
      <c r="C331" s="110" t="s">
        <v>167</v>
      </c>
      <c r="D331" s="145">
        <v>200</v>
      </c>
      <c r="E331" s="119" t="s">
        <v>7</v>
      </c>
      <c r="F331" s="119">
        <v>51</v>
      </c>
      <c r="G331" s="119">
        <v>40</v>
      </c>
      <c r="H331" s="119">
        <f>R16</f>
        <v>58</v>
      </c>
      <c r="I331" s="109">
        <f aca="true" t="shared" si="21" ref="I331:I341">F331*H331/1000</f>
        <v>2.96</v>
      </c>
      <c r="J331" s="109"/>
      <c r="K331" s="109"/>
      <c r="L331" s="109"/>
      <c r="M331" s="116"/>
      <c r="N331" s="148"/>
      <c r="O331" s="89"/>
    </row>
    <row r="332" spans="2:15" ht="13.5">
      <c r="B332" s="119"/>
      <c r="C332" s="112"/>
      <c r="D332" s="145"/>
      <c r="E332" s="119" t="s">
        <v>21</v>
      </c>
      <c r="F332" s="119">
        <v>11</v>
      </c>
      <c r="G332" s="119">
        <v>11</v>
      </c>
      <c r="H332" s="119">
        <f>R46</f>
        <v>61</v>
      </c>
      <c r="I332" s="109">
        <f t="shared" si="21"/>
        <v>0.67</v>
      </c>
      <c r="J332" s="109"/>
      <c r="K332" s="109"/>
      <c r="L332" s="109"/>
      <c r="M332" s="116"/>
      <c r="N332" s="148"/>
      <c r="O332" s="89"/>
    </row>
    <row r="333" spans="2:15" ht="13.5">
      <c r="B333" s="119"/>
      <c r="C333" s="112"/>
      <c r="D333" s="145"/>
      <c r="E333" s="119" t="s">
        <v>6</v>
      </c>
      <c r="F333" s="119">
        <v>10</v>
      </c>
      <c r="G333" s="119">
        <v>9</v>
      </c>
      <c r="H333" s="119">
        <f>R19</f>
        <v>49</v>
      </c>
      <c r="I333" s="109">
        <f t="shared" si="21"/>
        <v>0.49</v>
      </c>
      <c r="J333" s="109"/>
      <c r="K333" s="109"/>
      <c r="L333" s="109"/>
      <c r="M333" s="116"/>
      <c r="N333" s="148"/>
      <c r="O333" s="89"/>
    </row>
    <row r="334" spans="2:15" ht="13.5">
      <c r="B334" s="119"/>
      <c r="C334" s="112"/>
      <c r="D334" s="145"/>
      <c r="E334" s="119" t="s">
        <v>8</v>
      </c>
      <c r="F334" s="119">
        <v>9</v>
      </c>
      <c r="G334" s="119">
        <v>8</v>
      </c>
      <c r="H334" s="119">
        <f>R20</f>
        <v>67</v>
      </c>
      <c r="I334" s="109">
        <f t="shared" si="21"/>
        <v>0.6</v>
      </c>
      <c r="J334" s="109"/>
      <c r="K334" s="109"/>
      <c r="L334" s="109"/>
      <c r="M334" s="116"/>
      <c r="N334" s="148"/>
      <c r="O334" s="89"/>
    </row>
    <row r="335" spans="2:15" ht="13.5">
      <c r="B335" s="119"/>
      <c r="C335" s="112"/>
      <c r="D335" s="145"/>
      <c r="E335" s="119" t="s">
        <v>26</v>
      </c>
      <c r="F335" s="119">
        <v>4</v>
      </c>
      <c r="G335" s="119">
        <v>4</v>
      </c>
      <c r="H335" s="119">
        <f>R34</f>
        <v>147</v>
      </c>
      <c r="I335" s="109">
        <f t="shared" si="21"/>
        <v>0.59</v>
      </c>
      <c r="J335" s="109">
        <v>4.96</v>
      </c>
      <c r="K335" s="109">
        <v>4.41</v>
      </c>
      <c r="L335" s="109">
        <v>16.44</v>
      </c>
      <c r="M335" s="116">
        <v>125.29</v>
      </c>
      <c r="N335" s="148">
        <v>221</v>
      </c>
      <c r="O335" s="89">
        <f>(J335+L335)*4+K335*9</f>
        <v>125.29</v>
      </c>
    </row>
    <row r="336" spans="2:15" ht="13.5">
      <c r="B336" s="119">
        <v>2</v>
      </c>
      <c r="C336" s="153" t="s">
        <v>176</v>
      </c>
      <c r="D336" s="119">
        <v>200</v>
      </c>
      <c r="E336" s="112" t="s">
        <v>16</v>
      </c>
      <c r="F336" s="121">
        <v>52</v>
      </c>
      <c r="G336" s="121">
        <v>52</v>
      </c>
      <c r="H336" s="121">
        <f>R6</f>
        <v>603</v>
      </c>
      <c r="I336" s="109">
        <f t="shared" si="21"/>
        <v>31.36</v>
      </c>
      <c r="J336" s="109"/>
      <c r="K336" s="109"/>
      <c r="L336" s="109"/>
      <c r="M336" s="116"/>
      <c r="N336" s="148"/>
      <c r="O336" s="89"/>
    </row>
    <row r="337" spans="2:15" ht="13.5">
      <c r="B337" s="119"/>
      <c r="C337" s="153"/>
      <c r="D337" s="119"/>
      <c r="E337" s="112" t="s">
        <v>7</v>
      </c>
      <c r="F337" s="119">
        <v>147</v>
      </c>
      <c r="G337" s="119">
        <v>127</v>
      </c>
      <c r="H337" s="121">
        <f>R16</f>
        <v>58</v>
      </c>
      <c r="I337" s="109">
        <f t="shared" si="21"/>
        <v>8.53</v>
      </c>
      <c r="J337" s="109"/>
      <c r="K337" s="109"/>
      <c r="L337" s="109"/>
      <c r="M337" s="116"/>
      <c r="N337" s="148"/>
      <c r="O337" s="89"/>
    </row>
    <row r="338" spans="2:15" ht="13.5">
      <c r="B338" s="119"/>
      <c r="C338" s="153"/>
      <c r="D338" s="119"/>
      <c r="E338" s="112" t="s">
        <v>6</v>
      </c>
      <c r="F338" s="119">
        <v>13</v>
      </c>
      <c r="G338" s="119">
        <v>12</v>
      </c>
      <c r="H338" s="121">
        <f>R19</f>
        <v>49</v>
      </c>
      <c r="I338" s="109">
        <f t="shared" si="21"/>
        <v>0.64</v>
      </c>
      <c r="J338" s="109"/>
      <c r="K338" s="109"/>
      <c r="L338" s="109"/>
      <c r="M338" s="116"/>
      <c r="N338" s="148"/>
      <c r="O338" s="89"/>
    </row>
    <row r="339" spans="2:15" ht="13.5">
      <c r="B339" s="119"/>
      <c r="C339" s="153"/>
      <c r="D339" s="119"/>
      <c r="E339" s="112" t="s">
        <v>26</v>
      </c>
      <c r="F339" s="119">
        <v>5</v>
      </c>
      <c r="G339" s="119">
        <v>5</v>
      </c>
      <c r="H339" s="121">
        <f>R34</f>
        <v>147</v>
      </c>
      <c r="I339" s="109">
        <f t="shared" si="21"/>
        <v>0.74</v>
      </c>
      <c r="J339" s="109"/>
      <c r="K339" s="109"/>
      <c r="L339" s="109"/>
      <c r="M339" s="116"/>
      <c r="N339" s="148"/>
      <c r="O339" s="89"/>
    </row>
    <row r="340" spans="2:15" ht="13.5">
      <c r="B340" s="119"/>
      <c r="C340" s="153"/>
      <c r="D340" s="119"/>
      <c r="E340" s="112" t="s">
        <v>18</v>
      </c>
      <c r="F340" s="119">
        <v>3</v>
      </c>
      <c r="G340" s="119">
        <v>3</v>
      </c>
      <c r="H340" s="121">
        <f>R25</f>
        <v>124</v>
      </c>
      <c r="I340" s="109">
        <f t="shared" si="21"/>
        <v>0.37</v>
      </c>
      <c r="J340" s="109">
        <v>29.61</v>
      </c>
      <c r="K340" s="109">
        <v>20.25</v>
      </c>
      <c r="L340" s="109">
        <v>22.73</v>
      </c>
      <c r="M340" s="116">
        <v>391.61</v>
      </c>
      <c r="N340" s="148">
        <v>631</v>
      </c>
      <c r="O340" s="89">
        <f>(J340+L340)*4+K340*9</f>
        <v>391.61</v>
      </c>
    </row>
    <row r="341" spans="2:15" ht="13.5">
      <c r="B341" s="119">
        <v>3</v>
      </c>
      <c r="C341" s="97" t="s">
        <v>163</v>
      </c>
      <c r="D341" s="98">
        <v>50</v>
      </c>
      <c r="E341" s="98" t="s">
        <v>102</v>
      </c>
      <c r="F341" s="143">
        <v>50</v>
      </c>
      <c r="G341" s="143">
        <v>50</v>
      </c>
      <c r="H341" s="121">
        <f>R22</f>
        <v>68</v>
      </c>
      <c r="I341" s="109">
        <f t="shared" si="21"/>
        <v>3.4</v>
      </c>
      <c r="J341" s="147">
        <v>0.3</v>
      </c>
      <c r="K341" s="147">
        <v>0</v>
      </c>
      <c r="L341" s="147">
        <v>0.55</v>
      </c>
      <c r="M341" s="116">
        <v>3.4</v>
      </c>
      <c r="N341" s="148"/>
      <c r="O341" s="89">
        <f>(J341+L341)*4+K341*9</f>
        <v>3.4</v>
      </c>
    </row>
    <row r="342" spans="2:15" ht="13.5">
      <c r="B342" s="119">
        <v>4</v>
      </c>
      <c r="C342" s="190" t="s">
        <v>34</v>
      </c>
      <c r="D342" s="119">
        <v>50</v>
      </c>
      <c r="E342" s="119" t="s">
        <v>19</v>
      </c>
      <c r="F342" s="121">
        <v>50</v>
      </c>
      <c r="G342" s="121">
        <v>50</v>
      </c>
      <c r="H342" s="121">
        <f>R60</f>
        <v>48</v>
      </c>
      <c r="I342" s="109">
        <f>H342*F342/1000</f>
        <v>2.4</v>
      </c>
      <c r="J342" s="109">
        <v>3.35</v>
      </c>
      <c r="K342" s="109">
        <v>0.35</v>
      </c>
      <c r="L342" s="109">
        <v>25.15</v>
      </c>
      <c r="M342" s="116">
        <v>117.15</v>
      </c>
      <c r="N342" s="148"/>
      <c r="O342" s="89">
        <f>(J342+L342)*4+K342*9</f>
        <v>117.15</v>
      </c>
    </row>
    <row r="343" spans="2:15" ht="13.5">
      <c r="B343" s="119">
        <v>5</v>
      </c>
      <c r="C343" s="110" t="s">
        <v>136</v>
      </c>
      <c r="D343" s="119">
        <v>200</v>
      </c>
      <c r="E343" s="119" t="s">
        <v>20</v>
      </c>
      <c r="F343" s="121">
        <v>13</v>
      </c>
      <c r="G343" s="121">
        <v>13</v>
      </c>
      <c r="H343" s="121">
        <f>R30</f>
        <v>149</v>
      </c>
      <c r="I343" s="109">
        <f>F343*H343/1000</f>
        <v>1.94</v>
      </c>
      <c r="J343" s="109"/>
      <c r="K343" s="109"/>
      <c r="L343" s="109"/>
      <c r="M343" s="116"/>
      <c r="N343" s="148"/>
      <c r="O343" s="89"/>
    </row>
    <row r="344" spans="2:15" ht="13.5">
      <c r="B344" s="119"/>
      <c r="C344" s="110"/>
      <c r="D344" s="119"/>
      <c r="E344" s="119" t="s">
        <v>2</v>
      </c>
      <c r="F344" s="121">
        <v>12</v>
      </c>
      <c r="G344" s="121">
        <v>12</v>
      </c>
      <c r="H344" s="121">
        <f>R50</f>
        <v>94</v>
      </c>
      <c r="I344" s="109">
        <f>F344*H344/1000</f>
        <v>1.13</v>
      </c>
      <c r="J344" s="109">
        <v>1.04</v>
      </c>
      <c r="K344" s="109">
        <v>0</v>
      </c>
      <c r="L344" s="109">
        <v>26.96</v>
      </c>
      <c r="M344" s="116">
        <v>112</v>
      </c>
      <c r="N344" s="148">
        <v>933</v>
      </c>
      <c r="O344" s="89">
        <f>(J344+L344)*4+K344*9</f>
        <v>112</v>
      </c>
    </row>
    <row r="345" spans="2:15" ht="13.5">
      <c r="B345" s="119"/>
      <c r="C345" s="110"/>
      <c r="D345" s="119"/>
      <c r="E345" s="119" t="s">
        <v>103</v>
      </c>
      <c r="F345" s="119">
        <v>0.0005</v>
      </c>
      <c r="G345" s="119">
        <v>0.0005</v>
      </c>
      <c r="H345" s="121"/>
      <c r="I345" s="109"/>
      <c r="J345" s="109"/>
      <c r="K345" s="109"/>
      <c r="L345" s="109"/>
      <c r="M345" s="116"/>
      <c r="N345" s="148"/>
      <c r="O345" s="89"/>
    </row>
    <row r="346" spans="2:15" ht="13.5">
      <c r="B346" s="119">
        <v>6</v>
      </c>
      <c r="C346" s="110" t="s">
        <v>145</v>
      </c>
      <c r="D346" s="119">
        <v>60</v>
      </c>
      <c r="E346" s="119" t="s">
        <v>146</v>
      </c>
      <c r="F346" s="119">
        <v>60</v>
      </c>
      <c r="G346" s="119"/>
      <c r="H346" s="121">
        <f>R29</f>
        <v>153</v>
      </c>
      <c r="I346" s="109">
        <f>F346*H346/1000</f>
        <v>9.18</v>
      </c>
      <c r="J346" s="109">
        <v>0.9</v>
      </c>
      <c r="K346" s="109">
        <v>0.3</v>
      </c>
      <c r="L346" s="109">
        <v>4.8</v>
      </c>
      <c r="M346" s="116">
        <v>25.5</v>
      </c>
      <c r="N346" s="148"/>
      <c r="O346" s="89">
        <f>(J346+L346)*4+K346*9</f>
        <v>25.5</v>
      </c>
    </row>
    <row r="347" spans="2:15" ht="13.5">
      <c r="B347" s="119"/>
      <c r="C347" s="190"/>
      <c r="D347" s="119"/>
      <c r="E347" s="119" t="s">
        <v>128</v>
      </c>
      <c r="F347" s="119">
        <v>2.5</v>
      </c>
      <c r="G347" s="119">
        <v>2.5</v>
      </c>
      <c r="H347" s="119">
        <f>R54</f>
        <v>23</v>
      </c>
      <c r="I347" s="109">
        <f>F347*H347/1000</f>
        <v>0.06</v>
      </c>
      <c r="J347" s="109"/>
      <c r="K347" s="109"/>
      <c r="L347" s="109"/>
      <c r="M347" s="116"/>
      <c r="N347" s="148"/>
      <c r="O347" s="89"/>
    </row>
    <row r="348" spans="2:15" ht="13.5">
      <c r="B348" s="119"/>
      <c r="C348" s="190"/>
      <c r="D348" s="119"/>
      <c r="E348" s="119" t="s">
        <v>93</v>
      </c>
      <c r="F348" s="119">
        <v>0.02</v>
      </c>
      <c r="G348" s="119">
        <v>0.02</v>
      </c>
      <c r="H348" s="119">
        <f>R59</f>
        <v>508</v>
      </c>
      <c r="I348" s="109">
        <f>F348*H348/1000</f>
        <v>0.01</v>
      </c>
      <c r="J348" s="109"/>
      <c r="K348" s="109"/>
      <c r="L348" s="109"/>
      <c r="M348" s="116"/>
      <c r="N348" s="148"/>
      <c r="O348" s="89"/>
    </row>
    <row r="349" spans="2:15" ht="13.5">
      <c r="B349" s="119"/>
      <c r="C349" s="226" t="s">
        <v>203</v>
      </c>
      <c r="D349" s="162">
        <f>SUM(D331:D348)</f>
        <v>760</v>
      </c>
      <c r="E349" s="119"/>
      <c r="F349" s="121"/>
      <c r="G349" s="121"/>
      <c r="H349" s="121"/>
      <c r="I349" s="163">
        <f>SUM(I331:I348)</f>
        <v>65.07</v>
      </c>
      <c r="J349" s="163">
        <f>SUM(J331:J348)</f>
        <v>40.16</v>
      </c>
      <c r="K349" s="163">
        <f>SUM(K331:K348)</f>
        <v>25.31</v>
      </c>
      <c r="L349" s="163">
        <f>SUM(L331:L348)</f>
        <v>96.63</v>
      </c>
      <c r="M349" s="163">
        <f>SUM(M331:M348)</f>
        <v>774.95</v>
      </c>
      <c r="N349" s="156"/>
      <c r="O349" s="89">
        <f>(J349+L349)*4+K349*9</f>
        <v>774.95</v>
      </c>
    </row>
    <row r="350" spans="2:15" ht="13.5">
      <c r="B350" s="268" t="s">
        <v>204</v>
      </c>
      <c r="C350" s="268"/>
      <c r="D350" s="268"/>
      <c r="E350" s="268"/>
      <c r="F350" s="268"/>
      <c r="G350" s="268"/>
      <c r="H350" s="268"/>
      <c r="I350" s="268"/>
      <c r="J350" s="163">
        <f>SUM(J329+J349)</f>
        <v>74.98</v>
      </c>
      <c r="K350" s="163">
        <f>SUM(K329+K349)</f>
        <v>46.41</v>
      </c>
      <c r="L350" s="163">
        <f>SUM(L329+L349)</f>
        <v>168.09</v>
      </c>
      <c r="M350" s="163">
        <f>SUM(M329+M349)</f>
        <v>1389.97</v>
      </c>
      <c r="N350" s="205"/>
      <c r="O350" s="89">
        <f>(J350+L350)*4+K350*9</f>
        <v>1389.97</v>
      </c>
    </row>
    <row r="351" spans="2:15" ht="13.5">
      <c r="B351" s="131"/>
      <c r="C351" s="169"/>
      <c r="D351" s="173"/>
      <c r="E351" s="173"/>
      <c r="O351" s="89"/>
    </row>
    <row r="352" spans="2:15" ht="13.5">
      <c r="B352" s="131"/>
      <c r="C352" s="169" t="s">
        <v>41</v>
      </c>
      <c r="D352" s="173"/>
      <c r="E352" s="173"/>
      <c r="O352" s="89"/>
    </row>
    <row r="353" spans="2:15" ht="27">
      <c r="B353" s="265" t="s">
        <v>3</v>
      </c>
      <c r="C353" s="112"/>
      <c r="D353" s="112" t="s">
        <v>4</v>
      </c>
      <c r="E353" s="265" t="s">
        <v>28</v>
      </c>
      <c r="F353" s="135" t="s">
        <v>12</v>
      </c>
      <c r="G353" s="135" t="s">
        <v>56</v>
      </c>
      <c r="H353" s="135" t="s">
        <v>29</v>
      </c>
      <c r="I353" s="135" t="s">
        <v>30</v>
      </c>
      <c r="J353" s="262" t="s">
        <v>69</v>
      </c>
      <c r="K353" s="262" t="s">
        <v>70</v>
      </c>
      <c r="L353" s="262" t="s">
        <v>71</v>
      </c>
      <c r="M353" s="257" t="s">
        <v>72</v>
      </c>
      <c r="N353" s="261" t="s">
        <v>161</v>
      </c>
      <c r="O353" s="89"/>
    </row>
    <row r="354" spans="2:15" ht="13.5">
      <c r="B354" s="266"/>
      <c r="C354" s="138" t="s">
        <v>154</v>
      </c>
      <c r="D354" s="191" t="s">
        <v>31</v>
      </c>
      <c r="E354" s="260"/>
      <c r="F354" s="119" t="s">
        <v>31</v>
      </c>
      <c r="G354" s="197" t="s">
        <v>31</v>
      </c>
      <c r="H354" s="119" t="s">
        <v>32</v>
      </c>
      <c r="I354" s="119" t="s">
        <v>33</v>
      </c>
      <c r="J354" s="263"/>
      <c r="K354" s="263"/>
      <c r="L354" s="263"/>
      <c r="M354" s="269"/>
      <c r="N354" s="270"/>
      <c r="O354" s="89"/>
    </row>
    <row r="355" spans="2:15" ht="13.5">
      <c r="B355" s="119">
        <v>1</v>
      </c>
      <c r="C355" s="207" t="s">
        <v>172</v>
      </c>
      <c r="D355" s="121">
        <v>130</v>
      </c>
      <c r="E355" s="159" t="s">
        <v>77</v>
      </c>
      <c r="F355" s="159">
        <v>103</v>
      </c>
      <c r="G355" s="159">
        <v>89</v>
      </c>
      <c r="H355" s="121">
        <f>R35</f>
        <v>205</v>
      </c>
      <c r="I355" s="184">
        <f aca="true" t="shared" si="22" ref="I355:I369">F355*H355/1000</f>
        <v>21.12</v>
      </c>
      <c r="J355" s="109"/>
      <c r="K355" s="109"/>
      <c r="L355" s="109"/>
      <c r="M355" s="116"/>
      <c r="N355" s="141"/>
      <c r="O355" s="89"/>
    </row>
    <row r="356" spans="2:15" ht="13.5">
      <c r="B356" s="119"/>
      <c r="C356" s="110"/>
      <c r="D356" s="145"/>
      <c r="E356" s="159" t="s">
        <v>8</v>
      </c>
      <c r="F356" s="159">
        <v>19</v>
      </c>
      <c r="G356" s="213">
        <v>16</v>
      </c>
      <c r="H356" s="121">
        <f>R20</f>
        <v>67</v>
      </c>
      <c r="I356" s="184">
        <f t="shared" si="22"/>
        <v>1.27</v>
      </c>
      <c r="J356" s="109"/>
      <c r="K356" s="109"/>
      <c r="L356" s="109"/>
      <c r="M356" s="116"/>
      <c r="N356" s="141"/>
      <c r="O356" s="89"/>
    </row>
    <row r="357" spans="2:15" ht="13.5">
      <c r="B357" s="119"/>
      <c r="C357" s="110"/>
      <c r="D357" s="145"/>
      <c r="E357" s="159" t="s">
        <v>6</v>
      </c>
      <c r="F357" s="159">
        <v>10</v>
      </c>
      <c r="G357" s="213">
        <v>8</v>
      </c>
      <c r="H357" s="121">
        <f>R19</f>
        <v>49</v>
      </c>
      <c r="I357" s="184">
        <f t="shared" si="22"/>
        <v>0.49</v>
      </c>
      <c r="J357" s="109"/>
      <c r="K357" s="109"/>
      <c r="L357" s="109"/>
      <c r="M357" s="116"/>
      <c r="N357" s="141"/>
      <c r="O357" s="89"/>
    </row>
    <row r="358" spans="2:15" ht="13.5">
      <c r="B358" s="119"/>
      <c r="C358" s="110"/>
      <c r="D358" s="145"/>
      <c r="E358" s="159" t="s">
        <v>18</v>
      </c>
      <c r="F358" s="159">
        <v>4</v>
      </c>
      <c r="G358" s="213">
        <v>4</v>
      </c>
      <c r="H358" s="121">
        <f>R25</f>
        <v>124</v>
      </c>
      <c r="I358" s="184">
        <f t="shared" si="22"/>
        <v>0.5</v>
      </c>
      <c r="J358" s="109"/>
      <c r="K358" s="109"/>
      <c r="L358" s="109"/>
      <c r="M358" s="116"/>
      <c r="N358" s="141"/>
      <c r="O358" s="89"/>
    </row>
    <row r="359" spans="2:15" ht="13.5">
      <c r="B359" s="119"/>
      <c r="C359" s="110"/>
      <c r="D359" s="119"/>
      <c r="E359" s="119" t="s">
        <v>26</v>
      </c>
      <c r="F359" s="119">
        <v>5</v>
      </c>
      <c r="G359" s="119">
        <v>5</v>
      </c>
      <c r="H359" s="121">
        <f>R34</f>
        <v>147</v>
      </c>
      <c r="I359" s="184">
        <f t="shared" si="22"/>
        <v>0.74</v>
      </c>
      <c r="J359" s="109">
        <v>14.32</v>
      </c>
      <c r="K359" s="109">
        <v>5.79</v>
      </c>
      <c r="L359" s="109">
        <v>2.68</v>
      </c>
      <c r="M359" s="116">
        <v>120.11</v>
      </c>
      <c r="N359" s="141">
        <v>517</v>
      </c>
      <c r="O359" s="89">
        <f>(J359+L359)*4+K359*9</f>
        <v>120.11</v>
      </c>
    </row>
    <row r="360" spans="2:15" ht="13.5">
      <c r="B360" s="119">
        <v>2</v>
      </c>
      <c r="C360" s="110" t="s">
        <v>90</v>
      </c>
      <c r="D360" s="119">
        <v>150</v>
      </c>
      <c r="E360" s="119" t="s">
        <v>7</v>
      </c>
      <c r="F360" s="119">
        <v>182</v>
      </c>
      <c r="G360" s="119">
        <v>128</v>
      </c>
      <c r="H360" s="121">
        <f>R16</f>
        <v>58</v>
      </c>
      <c r="I360" s="184">
        <f t="shared" si="22"/>
        <v>10.56</v>
      </c>
      <c r="J360" s="109"/>
      <c r="K360" s="109"/>
      <c r="L360" s="109"/>
      <c r="M360" s="116"/>
      <c r="N360" s="141"/>
      <c r="O360" s="89"/>
    </row>
    <row r="361" spans="2:15" ht="13.5">
      <c r="B361" s="119"/>
      <c r="C361" s="190"/>
      <c r="D361" s="119"/>
      <c r="E361" s="119" t="s">
        <v>10</v>
      </c>
      <c r="F361" s="119">
        <v>30</v>
      </c>
      <c r="G361" s="119">
        <v>30</v>
      </c>
      <c r="H361" s="121">
        <f>R10</f>
        <v>68</v>
      </c>
      <c r="I361" s="184">
        <f>F361*H361/1000</f>
        <v>2.04</v>
      </c>
      <c r="J361" s="109"/>
      <c r="K361" s="109"/>
      <c r="L361" s="109"/>
      <c r="M361" s="116"/>
      <c r="N361" s="141"/>
      <c r="O361" s="89"/>
    </row>
    <row r="362" spans="2:15" ht="13.5">
      <c r="B362" s="119"/>
      <c r="C362" s="182"/>
      <c r="D362" s="183"/>
      <c r="E362" s="183" t="s">
        <v>27</v>
      </c>
      <c r="F362" s="183">
        <v>6</v>
      </c>
      <c r="G362" s="183">
        <v>6</v>
      </c>
      <c r="H362" s="121">
        <f>R11</f>
        <v>481</v>
      </c>
      <c r="I362" s="184">
        <f t="shared" si="22"/>
        <v>2.89</v>
      </c>
      <c r="J362" s="109">
        <v>3.44</v>
      </c>
      <c r="K362" s="109">
        <v>5.51</v>
      </c>
      <c r="L362" s="109">
        <v>22.31</v>
      </c>
      <c r="M362" s="116">
        <v>152.59</v>
      </c>
      <c r="N362" s="141">
        <v>759</v>
      </c>
      <c r="O362" s="89">
        <f>(J362+L362)*4+K362*9</f>
        <v>152.59</v>
      </c>
    </row>
    <row r="363" spans="2:15" ht="13.5">
      <c r="B363" s="119">
        <v>3</v>
      </c>
      <c r="C363" s="190" t="s">
        <v>147</v>
      </c>
      <c r="D363" s="119">
        <v>50</v>
      </c>
      <c r="E363" s="119" t="s">
        <v>19</v>
      </c>
      <c r="F363" s="119">
        <v>50</v>
      </c>
      <c r="G363" s="119">
        <v>50</v>
      </c>
      <c r="H363" s="121">
        <f>R60</f>
        <v>48</v>
      </c>
      <c r="I363" s="184">
        <f t="shared" si="22"/>
        <v>2.4</v>
      </c>
      <c r="J363" s="109">
        <v>3.35</v>
      </c>
      <c r="K363" s="109">
        <v>0.35</v>
      </c>
      <c r="L363" s="109">
        <v>25.15</v>
      </c>
      <c r="M363" s="116">
        <v>117.15</v>
      </c>
      <c r="N363" s="141"/>
      <c r="O363" s="89">
        <f>(J363+L363)*4+K363*9</f>
        <v>117.15</v>
      </c>
    </row>
    <row r="364" spans="2:15" ht="13.5">
      <c r="B364" s="119">
        <v>4</v>
      </c>
      <c r="C364" s="190" t="s">
        <v>65</v>
      </c>
      <c r="D364" s="145">
        <v>10</v>
      </c>
      <c r="E364" s="119" t="s">
        <v>27</v>
      </c>
      <c r="F364" s="119">
        <v>10</v>
      </c>
      <c r="G364" s="119">
        <v>10</v>
      </c>
      <c r="H364" s="121">
        <f>R11</f>
        <v>481</v>
      </c>
      <c r="I364" s="184">
        <f t="shared" si="22"/>
        <v>4.81</v>
      </c>
      <c r="J364" s="147">
        <v>0.04</v>
      </c>
      <c r="K364" s="147">
        <v>7.85</v>
      </c>
      <c r="L364" s="147">
        <v>0.05</v>
      </c>
      <c r="M364" s="116">
        <v>71.01</v>
      </c>
      <c r="N364" s="148"/>
      <c r="O364" s="89">
        <f>(J364+L364)*4+K364*9</f>
        <v>71.01</v>
      </c>
    </row>
    <row r="365" spans="2:15" ht="13.5">
      <c r="B365" s="119">
        <v>5</v>
      </c>
      <c r="C365" s="110" t="s">
        <v>137</v>
      </c>
      <c r="D365" s="145">
        <v>200</v>
      </c>
      <c r="E365" s="119" t="s">
        <v>49</v>
      </c>
      <c r="F365" s="119">
        <v>1</v>
      </c>
      <c r="G365" s="119">
        <v>1</v>
      </c>
      <c r="H365" s="121">
        <f>R58</f>
        <v>514</v>
      </c>
      <c r="I365" s="184">
        <f t="shared" si="22"/>
        <v>0.51</v>
      </c>
      <c r="J365" s="109"/>
      <c r="K365" s="109"/>
      <c r="L365" s="109"/>
      <c r="M365" s="116"/>
      <c r="N365" s="141"/>
      <c r="O365" s="89"/>
    </row>
    <row r="366" spans="2:15" ht="13.5">
      <c r="B366" s="119"/>
      <c r="C366" s="157"/>
      <c r="D366" s="111"/>
      <c r="E366" s="112" t="s">
        <v>10</v>
      </c>
      <c r="F366" s="119">
        <v>85</v>
      </c>
      <c r="G366" s="119">
        <v>85</v>
      </c>
      <c r="H366" s="121">
        <f>R10</f>
        <v>68</v>
      </c>
      <c r="I366" s="184">
        <f t="shared" si="22"/>
        <v>5.78</v>
      </c>
      <c r="J366" s="109"/>
      <c r="K366" s="109"/>
      <c r="L366" s="109"/>
      <c r="M366" s="116"/>
      <c r="N366" s="141"/>
      <c r="O366" s="89"/>
    </row>
    <row r="367" spans="2:15" ht="13.5">
      <c r="B367" s="145"/>
      <c r="C367" s="110"/>
      <c r="D367" s="145"/>
      <c r="E367" s="119" t="s">
        <v>2</v>
      </c>
      <c r="F367" s="119">
        <v>12</v>
      </c>
      <c r="G367" s="119">
        <v>12</v>
      </c>
      <c r="H367" s="121">
        <f>R50</f>
        <v>94</v>
      </c>
      <c r="I367" s="184">
        <f t="shared" si="22"/>
        <v>1.13</v>
      </c>
      <c r="J367" s="151">
        <v>3.12</v>
      </c>
      <c r="K367" s="151">
        <v>3.24</v>
      </c>
      <c r="L367" s="151">
        <v>17.7</v>
      </c>
      <c r="M367" s="152">
        <v>112.44</v>
      </c>
      <c r="N367" s="141">
        <v>1011</v>
      </c>
      <c r="O367" s="89">
        <f>(J367+L367)*4+K367*9</f>
        <v>112.44</v>
      </c>
    </row>
    <row r="368" spans="2:15" ht="13.5">
      <c r="B368" s="145">
        <v>6</v>
      </c>
      <c r="C368" s="110" t="s">
        <v>145</v>
      </c>
      <c r="D368" s="145">
        <v>70</v>
      </c>
      <c r="E368" s="119" t="s">
        <v>146</v>
      </c>
      <c r="F368" s="119">
        <v>70</v>
      </c>
      <c r="G368" s="119"/>
      <c r="H368" s="121">
        <f>R29</f>
        <v>153</v>
      </c>
      <c r="I368" s="184">
        <f t="shared" si="22"/>
        <v>10.71</v>
      </c>
      <c r="J368" s="109">
        <v>1.05</v>
      </c>
      <c r="K368" s="109">
        <v>0.35</v>
      </c>
      <c r="L368" s="109">
        <v>5.6</v>
      </c>
      <c r="M368" s="116">
        <v>29.75</v>
      </c>
      <c r="N368" s="141"/>
      <c r="O368" s="89">
        <f>(J368+L368)*4+K368*9</f>
        <v>29.75</v>
      </c>
    </row>
    <row r="369" spans="2:15" ht="13.5">
      <c r="B369" s="119"/>
      <c r="C369" s="112"/>
      <c r="D369" s="145"/>
      <c r="E369" s="119" t="s">
        <v>128</v>
      </c>
      <c r="F369" s="119">
        <v>5</v>
      </c>
      <c r="G369" s="119">
        <v>5</v>
      </c>
      <c r="H369" s="121">
        <f>R54</f>
        <v>23</v>
      </c>
      <c r="I369" s="184">
        <f t="shared" si="22"/>
        <v>0.12</v>
      </c>
      <c r="J369" s="109"/>
      <c r="K369" s="109"/>
      <c r="L369" s="109"/>
      <c r="M369" s="116"/>
      <c r="N369" s="141"/>
      <c r="O369" s="89"/>
    </row>
    <row r="370" spans="2:15" ht="13.5">
      <c r="B370" s="153"/>
      <c r="C370" s="226" t="s">
        <v>202</v>
      </c>
      <c r="D370" s="214">
        <f>SUM(D355:D369)</f>
        <v>610</v>
      </c>
      <c r="E370" s="153"/>
      <c r="F370" s="153"/>
      <c r="G370" s="153"/>
      <c r="H370" s="153"/>
      <c r="I370" s="163">
        <f>SUM(I355:I369)</f>
        <v>65.07</v>
      </c>
      <c r="J370" s="163">
        <f>SUM(J355:J369)</f>
        <v>25.32</v>
      </c>
      <c r="K370" s="163">
        <f>SUM(K355:K369)</f>
        <v>23.09</v>
      </c>
      <c r="L370" s="163">
        <f>SUM(L355:L369)</f>
        <v>73.49</v>
      </c>
      <c r="M370" s="163">
        <f>SUM(M355:M369)</f>
        <v>603.05</v>
      </c>
      <c r="N370" s="156"/>
      <c r="O370" s="89">
        <f>(J370+L370)*4+K370*9</f>
        <v>603.05</v>
      </c>
    </row>
    <row r="371" spans="2:15" ht="13.5">
      <c r="B371" s="183"/>
      <c r="C371" s="157" t="s">
        <v>155</v>
      </c>
      <c r="D371" s="183"/>
      <c r="E371" s="183"/>
      <c r="F371" s="183"/>
      <c r="G371" s="183"/>
      <c r="H371" s="183"/>
      <c r="I371" s="184"/>
      <c r="J371" s="109"/>
      <c r="K371" s="109"/>
      <c r="L371" s="109"/>
      <c r="M371" s="116"/>
      <c r="N371" s="141"/>
      <c r="O371" s="89"/>
    </row>
    <row r="372" spans="2:15" ht="13.5">
      <c r="B372" s="119">
        <v>1</v>
      </c>
      <c r="C372" s="207" t="s">
        <v>130</v>
      </c>
      <c r="D372" s="145">
        <v>200</v>
      </c>
      <c r="E372" s="119" t="s">
        <v>7</v>
      </c>
      <c r="F372" s="119">
        <v>85</v>
      </c>
      <c r="G372" s="119">
        <v>60</v>
      </c>
      <c r="H372" s="119">
        <f>R16</f>
        <v>58</v>
      </c>
      <c r="I372" s="184">
        <f aca="true" t="shared" si="23" ref="I372:I377">F372*H372/1000</f>
        <v>4.93</v>
      </c>
      <c r="J372" s="109"/>
      <c r="K372" s="109"/>
      <c r="L372" s="109"/>
      <c r="M372" s="116"/>
      <c r="N372" s="141"/>
      <c r="O372" s="89"/>
    </row>
    <row r="373" spans="2:15" ht="13.5">
      <c r="B373" s="119"/>
      <c r="C373" s="112"/>
      <c r="D373" s="145"/>
      <c r="E373" s="119" t="s">
        <v>1</v>
      </c>
      <c r="F373" s="119">
        <v>8</v>
      </c>
      <c r="G373" s="119">
        <v>8</v>
      </c>
      <c r="H373" s="119">
        <f>R43</f>
        <v>100</v>
      </c>
      <c r="I373" s="184">
        <f t="shared" si="23"/>
        <v>0.8</v>
      </c>
      <c r="J373" s="109"/>
      <c r="K373" s="109"/>
      <c r="L373" s="109"/>
      <c r="M373" s="116"/>
      <c r="N373" s="141"/>
      <c r="O373" s="89"/>
    </row>
    <row r="374" spans="2:15" ht="13.5">
      <c r="B374" s="119"/>
      <c r="C374" s="112"/>
      <c r="D374" s="145"/>
      <c r="E374" s="119" t="s">
        <v>8</v>
      </c>
      <c r="F374" s="119">
        <v>10</v>
      </c>
      <c r="G374" s="119">
        <v>8</v>
      </c>
      <c r="H374" s="119">
        <f>R20</f>
        <v>67</v>
      </c>
      <c r="I374" s="184">
        <f t="shared" si="23"/>
        <v>0.67</v>
      </c>
      <c r="J374" s="109"/>
      <c r="K374" s="109"/>
      <c r="L374" s="109"/>
      <c r="M374" s="116"/>
      <c r="N374" s="141"/>
      <c r="O374" s="89"/>
    </row>
    <row r="375" spans="2:15" ht="13.5">
      <c r="B375" s="119"/>
      <c r="C375" s="112"/>
      <c r="D375" s="145"/>
      <c r="E375" s="119" t="s">
        <v>24</v>
      </c>
      <c r="F375" s="119">
        <v>10</v>
      </c>
      <c r="G375" s="119">
        <v>8</v>
      </c>
      <c r="H375" s="119">
        <f>R19</f>
        <v>49</v>
      </c>
      <c r="I375" s="184">
        <f t="shared" si="23"/>
        <v>0.49</v>
      </c>
      <c r="J375" s="109"/>
      <c r="K375" s="109"/>
      <c r="L375" s="109"/>
      <c r="M375" s="116"/>
      <c r="N375" s="141"/>
      <c r="O375" s="89"/>
    </row>
    <row r="376" spans="2:15" ht="13.5">
      <c r="B376" s="119"/>
      <c r="C376" s="112"/>
      <c r="D376" s="145"/>
      <c r="E376" s="119" t="s">
        <v>26</v>
      </c>
      <c r="F376" s="119">
        <v>4</v>
      </c>
      <c r="G376" s="119">
        <v>4</v>
      </c>
      <c r="H376" s="211">
        <f>R34</f>
        <v>147</v>
      </c>
      <c r="I376" s="184">
        <f>F376*H376/1000</f>
        <v>0.59</v>
      </c>
      <c r="J376" s="109">
        <v>2.48</v>
      </c>
      <c r="K376" s="109">
        <v>4.32</v>
      </c>
      <c r="L376" s="109">
        <v>15.75</v>
      </c>
      <c r="M376" s="116">
        <v>111.8</v>
      </c>
      <c r="N376" s="141">
        <v>219</v>
      </c>
      <c r="O376" s="89">
        <f>(J376+L376)*4+K376*9</f>
        <v>111.8</v>
      </c>
    </row>
    <row r="377" spans="2:15" ht="13.5">
      <c r="B377" s="119">
        <v>2</v>
      </c>
      <c r="C377" s="110" t="s">
        <v>172</v>
      </c>
      <c r="D377" s="121">
        <v>130</v>
      </c>
      <c r="E377" s="159" t="s">
        <v>77</v>
      </c>
      <c r="F377" s="159">
        <v>103</v>
      </c>
      <c r="G377" s="159">
        <v>89</v>
      </c>
      <c r="H377" s="215">
        <f>R35</f>
        <v>205</v>
      </c>
      <c r="I377" s="113">
        <f t="shared" si="23"/>
        <v>21.12</v>
      </c>
      <c r="J377" s="113"/>
      <c r="K377" s="113"/>
      <c r="L377" s="113"/>
      <c r="M377" s="177"/>
      <c r="N377" s="176"/>
      <c r="O377" s="89"/>
    </row>
    <row r="378" spans="2:19" ht="13.5">
      <c r="B378" s="119"/>
      <c r="C378" s="110"/>
      <c r="D378" s="145"/>
      <c r="E378" s="159" t="s">
        <v>8</v>
      </c>
      <c r="F378" s="159">
        <v>19</v>
      </c>
      <c r="G378" s="213">
        <v>16</v>
      </c>
      <c r="H378" s="121">
        <f>R20</f>
        <v>67</v>
      </c>
      <c r="I378" s="109">
        <f aca="true" t="shared" si="24" ref="I378:I384">H378*F378/1000</f>
        <v>1.27</v>
      </c>
      <c r="J378" s="109"/>
      <c r="K378" s="109"/>
      <c r="L378" s="109"/>
      <c r="M378" s="116"/>
      <c r="N378" s="141"/>
      <c r="O378" s="89"/>
      <c r="S378" s="16"/>
    </row>
    <row r="379" spans="2:19" ht="13.5">
      <c r="B379" s="119"/>
      <c r="C379" s="110"/>
      <c r="D379" s="145"/>
      <c r="E379" s="159" t="s">
        <v>6</v>
      </c>
      <c r="F379" s="159">
        <v>10</v>
      </c>
      <c r="G379" s="213">
        <v>8</v>
      </c>
      <c r="H379" s="121">
        <f>R19</f>
        <v>49</v>
      </c>
      <c r="I379" s="109">
        <f t="shared" si="24"/>
        <v>0.49</v>
      </c>
      <c r="J379" s="109"/>
      <c r="K379" s="109"/>
      <c r="L379" s="109"/>
      <c r="M379" s="116"/>
      <c r="N379" s="141"/>
      <c r="O379" s="89"/>
      <c r="S379" s="16"/>
    </row>
    <row r="380" spans="2:19" ht="13.5">
      <c r="B380" s="119"/>
      <c r="C380" s="110"/>
      <c r="D380" s="145"/>
      <c r="E380" s="159" t="s">
        <v>18</v>
      </c>
      <c r="F380" s="159">
        <v>4</v>
      </c>
      <c r="G380" s="213">
        <v>4</v>
      </c>
      <c r="H380" s="148">
        <f>R25</f>
        <v>124</v>
      </c>
      <c r="I380" s="109">
        <f t="shared" si="24"/>
        <v>0.5</v>
      </c>
      <c r="J380" s="109"/>
      <c r="K380" s="109"/>
      <c r="L380" s="109"/>
      <c r="M380" s="116"/>
      <c r="N380" s="141"/>
      <c r="O380" s="89"/>
      <c r="S380" s="16"/>
    </row>
    <row r="381" spans="2:19" ht="13.5">
      <c r="B381" s="119"/>
      <c r="C381" s="110"/>
      <c r="D381" s="119"/>
      <c r="E381" s="119" t="s">
        <v>26</v>
      </c>
      <c r="F381" s="119">
        <v>5</v>
      </c>
      <c r="G381" s="119">
        <v>5</v>
      </c>
      <c r="H381" s="121">
        <f>R34</f>
        <v>147</v>
      </c>
      <c r="I381" s="109">
        <f t="shared" si="24"/>
        <v>0.74</v>
      </c>
      <c r="J381" s="109">
        <v>14.32</v>
      </c>
      <c r="K381" s="109">
        <v>5.79</v>
      </c>
      <c r="L381" s="109">
        <v>2.68</v>
      </c>
      <c r="M381" s="116">
        <v>120.11</v>
      </c>
      <c r="N381" s="141">
        <v>517</v>
      </c>
      <c r="O381" s="89">
        <f>(J381+L381)*4+K381*9</f>
        <v>120.11</v>
      </c>
      <c r="S381" s="16"/>
    </row>
    <row r="382" spans="2:19" ht="13.5">
      <c r="B382" s="119">
        <v>3</v>
      </c>
      <c r="C382" s="110" t="s">
        <v>90</v>
      </c>
      <c r="D382" s="119">
        <v>150</v>
      </c>
      <c r="E382" s="119" t="s">
        <v>7</v>
      </c>
      <c r="F382" s="119">
        <v>182</v>
      </c>
      <c r="G382" s="119">
        <v>128</v>
      </c>
      <c r="H382" s="121">
        <f>R16</f>
        <v>58</v>
      </c>
      <c r="I382" s="109">
        <f t="shared" si="24"/>
        <v>10.56</v>
      </c>
      <c r="J382" s="109"/>
      <c r="K382" s="109"/>
      <c r="L382" s="109"/>
      <c r="M382" s="116"/>
      <c r="N382" s="141"/>
      <c r="O382" s="89"/>
      <c r="S382" s="16"/>
    </row>
    <row r="383" spans="2:19" ht="13.5">
      <c r="B383" s="119"/>
      <c r="C383" s="190"/>
      <c r="D383" s="119"/>
      <c r="E383" s="119" t="s">
        <v>10</v>
      </c>
      <c r="F383" s="119">
        <v>30</v>
      </c>
      <c r="G383" s="119">
        <v>30</v>
      </c>
      <c r="H383" s="185">
        <f>R10</f>
        <v>68</v>
      </c>
      <c r="I383" s="109">
        <f t="shared" si="24"/>
        <v>2.04</v>
      </c>
      <c r="J383" s="109"/>
      <c r="K383" s="109"/>
      <c r="L383" s="109"/>
      <c r="M383" s="116"/>
      <c r="N383" s="141"/>
      <c r="O383" s="89"/>
      <c r="S383" s="16"/>
    </row>
    <row r="384" spans="2:19" ht="13.5">
      <c r="B384" s="183"/>
      <c r="C384" s="182"/>
      <c r="D384" s="183"/>
      <c r="E384" s="183" t="s">
        <v>27</v>
      </c>
      <c r="F384" s="183">
        <v>6</v>
      </c>
      <c r="G384" s="183">
        <v>6</v>
      </c>
      <c r="H384" s="185">
        <f>R11</f>
        <v>481</v>
      </c>
      <c r="I384" s="109">
        <f t="shared" si="24"/>
        <v>2.89</v>
      </c>
      <c r="J384" s="109">
        <v>3.44</v>
      </c>
      <c r="K384" s="109">
        <v>5.51</v>
      </c>
      <c r="L384" s="109">
        <v>22.31</v>
      </c>
      <c r="M384" s="116">
        <v>152.59</v>
      </c>
      <c r="N384" s="141">
        <v>759</v>
      </c>
      <c r="O384" s="89">
        <f>(J384+L384)*4+K384*9</f>
        <v>152.59</v>
      </c>
      <c r="S384" s="16"/>
    </row>
    <row r="385" spans="2:19" ht="13.5">
      <c r="B385" s="183">
        <v>4</v>
      </c>
      <c r="C385" s="182" t="s">
        <v>34</v>
      </c>
      <c r="D385" s="183">
        <v>50</v>
      </c>
      <c r="E385" s="183" t="s">
        <v>19</v>
      </c>
      <c r="F385" s="183">
        <v>50</v>
      </c>
      <c r="G385" s="183">
        <v>50</v>
      </c>
      <c r="H385" s="183">
        <f>R60</f>
        <v>48</v>
      </c>
      <c r="I385" s="184">
        <f aca="true" t="shared" si="25" ref="I385:I391">F385*H385/1000</f>
        <v>2.4</v>
      </c>
      <c r="J385" s="109">
        <v>3.35</v>
      </c>
      <c r="K385" s="109">
        <v>0.35</v>
      </c>
      <c r="L385" s="109">
        <v>25.15</v>
      </c>
      <c r="M385" s="116">
        <v>117.15</v>
      </c>
      <c r="N385" s="141"/>
      <c r="O385" s="89">
        <f>(J385+L385)*4+K385*9</f>
        <v>117.15</v>
      </c>
      <c r="S385" s="17"/>
    </row>
    <row r="386" spans="2:19" ht="13.5">
      <c r="B386" s="119">
        <v>5</v>
      </c>
      <c r="C386" s="190" t="s">
        <v>96</v>
      </c>
      <c r="D386" s="119">
        <v>200</v>
      </c>
      <c r="E386" s="119" t="s">
        <v>99</v>
      </c>
      <c r="F386" s="119">
        <v>18</v>
      </c>
      <c r="G386" s="119">
        <v>18</v>
      </c>
      <c r="H386" s="119">
        <f>R55</f>
        <v>212</v>
      </c>
      <c r="I386" s="184">
        <f t="shared" si="25"/>
        <v>3.82</v>
      </c>
      <c r="J386" s="109"/>
      <c r="K386" s="109"/>
      <c r="L386" s="109"/>
      <c r="M386" s="116"/>
      <c r="N386" s="141"/>
      <c r="O386" s="89"/>
      <c r="S386" s="17"/>
    </row>
    <row r="387" spans="2:19" ht="13.5">
      <c r="B387" s="119"/>
      <c r="C387" s="119"/>
      <c r="D387" s="119"/>
      <c r="E387" s="119" t="s">
        <v>2</v>
      </c>
      <c r="F387" s="119">
        <v>10</v>
      </c>
      <c r="G387" s="119">
        <v>10</v>
      </c>
      <c r="H387" s="119">
        <f>R50</f>
        <v>94</v>
      </c>
      <c r="I387" s="184">
        <f t="shared" si="25"/>
        <v>0.94</v>
      </c>
      <c r="J387" s="109">
        <v>0</v>
      </c>
      <c r="K387" s="109">
        <v>0</v>
      </c>
      <c r="L387" s="109">
        <v>19.6</v>
      </c>
      <c r="M387" s="116">
        <v>78.4</v>
      </c>
      <c r="N387" s="141">
        <v>948</v>
      </c>
      <c r="O387" s="89">
        <f>(J387+L387)*4+K387*9</f>
        <v>78.4</v>
      </c>
      <c r="S387" s="17"/>
    </row>
    <row r="388" spans="2:19" ht="13.5">
      <c r="B388" s="119"/>
      <c r="C388" s="190"/>
      <c r="D388" s="119"/>
      <c r="E388" s="119" t="s">
        <v>103</v>
      </c>
      <c r="F388" s="119">
        <v>0.0005</v>
      </c>
      <c r="G388" s="119">
        <v>0.0005</v>
      </c>
      <c r="H388" s="119"/>
      <c r="I388" s="184"/>
      <c r="J388" s="109"/>
      <c r="K388" s="109"/>
      <c r="L388" s="109"/>
      <c r="M388" s="116"/>
      <c r="N388" s="141"/>
      <c r="O388" s="89"/>
      <c r="S388" s="17"/>
    </row>
    <row r="389" spans="2:19" ht="13.5">
      <c r="B389" s="119">
        <v>6</v>
      </c>
      <c r="C389" s="190" t="s">
        <v>145</v>
      </c>
      <c r="D389" s="119">
        <v>70</v>
      </c>
      <c r="E389" s="119" t="s">
        <v>146</v>
      </c>
      <c r="F389" s="119">
        <v>70</v>
      </c>
      <c r="G389" s="119"/>
      <c r="H389" s="119">
        <f>R29</f>
        <v>153</v>
      </c>
      <c r="I389" s="184">
        <f t="shared" si="25"/>
        <v>10.71</v>
      </c>
      <c r="J389" s="109">
        <v>1.05</v>
      </c>
      <c r="K389" s="109">
        <v>0.35</v>
      </c>
      <c r="L389" s="109">
        <v>5.6</v>
      </c>
      <c r="M389" s="116">
        <v>29.75</v>
      </c>
      <c r="N389" s="141"/>
      <c r="O389" s="89">
        <f>(J389+L389)*4+K389*9</f>
        <v>29.75</v>
      </c>
      <c r="S389" s="17"/>
    </row>
    <row r="390" spans="2:15" ht="13.5">
      <c r="B390" s="119"/>
      <c r="C390" s="110"/>
      <c r="D390" s="119"/>
      <c r="E390" s="119" t="s">
        <v>128</v>
      </c>
      <c r="F390" s="119">
        <v>4.5</v>
      </c>
      <c r="G390" s="119">
        <v>4.5</v>
      </c>
      <c r="H390" s="119">
        <f>R54</f>
        <v>23</v>
      </c>
      <c r="I390" s="109">
        <f t="shared" si="25"/>
        <v>0.1</v>
      </c>
      <c r="J390" s="109"/>
      <c r="K390" s="109"/>
      <c r="L390" s="109"/>
      <c r="M390" s="116"/>
      <c r="N390" s="141"/>
      <c r="O390" s="89"/>
    </row>
    <row r="391" spans="2:15" ht="13.5">
      <c r="B391" s="119"/>
      <c r="C391" s="110"/>
      <c r="D391" s="119"/>
      <c r="E391" s="119" t="s">
        <v>93</v>
      </c>
      <c r="F391" s="119">
        <v>0.02</v>
      </c>
      <c r="G391" s="119">
        <v>0.02</v>
      </c>
      <c r="H391" s="119">
        <f>R59</f>
        <v>508</v>
      </c>
      <c r="I391" s="109">
        <f t="shared" si="25"/>
        <v>0.01</v>
      </c>
      <c r="J391" s="109"/>
      <c r="K391" s="109"/>
      <c r="L391" s="109"/>
      <c r="M391" s="116"/>
      <c r="N391" s="141"/>
      <c r="O391" s="89"/>
    </row>
    <row r="392" spans="2:15" ht="13.5">
      <c r="B392" s="153"/>
      <c r="C392" s="226" t="s">
        <v>203</v>
      </c>
      <c r="D392" s="162">
        <f>SUM(D372:D391)</f>
        <v>800</v>
      </c>
      <c r="E392" s="119"/>
      <c r="F392" s="119"/>
      <c r="G392" s="119"/>
      <c r="H392" s="119"/>
      <c r="I392" s="163">
        <f>SUM(I372:I391)</f>
        <v>65.07</v>
      </c>
      <c r="J392" s="163">
        <f>SUM(J372:J391)</f>
        <v>24.64</v>
      </c>
      <c r="K392" s="163">
        <f>SUM(K372:K391)</f>
        <v>16.32</v>
      </c>
      <c r="L392" s="163">
        <f>SUM(L372:L391)</f>
        <v>91.09</v>
      </c>
      <c r="M392" s="163">
        <f>SUM(M372:M391)</f>
        <v>609.8</v>
      </c>
      <c r="N392" s="156"/>
      <c r="O392" s="89">
        <f>(J392+L392)*4+K392*9</f>
        <v>609.8</v>
      </c>
    </row>
    <row r="393" spans="2:15" ht="13.5">
      <c r="B393" s="268" t="s">
        <v>204</v>
      </c>
      <c r="C393" s="268"/>
      <c r="D393" s="268"/>
      <c r="E393" s="268"/>
      <c r="F393" s="268"/>
      <c r="G393" s="268"/>
      <c r="H393" s="268"/>
      <c r="I393" s="268"/>
      <c r="J393" s="163">
        <f>SUM(J370+J392)</f>
        <v>49.96</v>
      </c>
      <c r="K393" s="163">
        <f>SUM(K370+K392)</f>
        <v>39.41</v>
      </c>
      <c r="L393" s="163">
        <f>SUM(L370+L392)</f>
        <v>164.58</v>
      </c>
      <c r="M393" s="163">
        <f>SUM(M370+M392)</f>
        <v>1212.85</v>
      </c>
      <c r="N393" s="205"/>
      <c r="O393" s="89">
        <f>(J393+L393)*4+K393*9</f>
        <v>1212.85</v>
      </c>
    </row>
    <row r="394" spans="2:15" ht="13.5">
      <c r="B394" s="173"/>
      <c r="C394" s="169"/>
      <c r="D394" s="173"/>
      <c r="E394" s="173"/>
      <c r="O394" s="89"/>
    </row>
    <row r="395" spans="2:15" ht="13.5">
      <c r="B395" s="216"/>
      <c r="C395" s="169" t="s">
        <v>42</v>
      </c>
      <c r="D395" s="173"/>
      <c r="E395" s="173"/>
      <c r="O395" s="89"/>
    </row>
    <row r="396" spans="2:15" ht="27">
      <c r="B396" s="265" t="s">
        <v>3</v>
      </c>
      <c r="C396" s="112"/>
      <c r="D396" s="112" t="s">
        <v>4</v>
      </c>
      <c r="E396" s="217" t="s">
        <v>28</v>
      </c>
      <c r="F396" s="135" t="s">
        <v>12</v>
      </c>
      <c r="G396" s="135" t="s">
        <v>56</v>
      </c>
      <c r="H396" s="135" t="s">
        <v>29</v>
      </c>
      <c r="I396" s="135" t="s">
        <v>30</v>
      </c>
      <c r="J396" s="262" t="s">
        <v>69</v>
      </c>
      <c r="K396" s="262" t="s">
        <v>70</v>
      </c>
      <c r="L396" s="262" t="s">
        <v>71</v>
      </c>
      <c r="M396" s="257" t="s">
        <v>72</v>
      </c>
      <c r="N396" s="259" t="s">
        <v>161</v>
      </c>
      <c r="O396" s="89"/>
    </row>
    <row r="397" spans="2:15" ht="13.5">
      <c r="B397" s="263"/>
      <c r="C397" s="138" t="s">
        <v>154</v>
      </c>
      <c r="D397" s="112" t="s">
        <v>31</v>
      </c>
      <c r="E397" s="112"/>
      <c r="F397" s="119" t="s">
        <v>31</v>
      </c>
      <c r="G397" s="119" t="s">
        <v>31</v>
      </c>
      <c r="H397" s="119" t="s">
        <v>32</v>
      </c>
      <c r="I397" s="119" t="s">
        <v>33</v>
      </c>
      <c r="J397" s="263"/>
      <c r="K397" s="263"/>
      <c r="L397" s="263"/>
      <c r="M397" s="269"/>
      <c r="N397" s="264"/>
      <c r="O397" s="89"/>
    </row>
    <row r="398" spans="2:15" ht="13.5">
      <c r="B398" s="119">
        <v>1</v>
      </c>
      <c r="C398" s="190" t="s">
        <v>173</v>
      </c>
      <c r="D398" s="121">
        <v>130</v>
      </c>
      <c r="E398" s="119" t="s">
        <v>16</v>
      </c>
      <c r="F398" s="121">
        <v>59</v>
      </c>
      <c r="G398" s="121">
        <v>59</v>
      </c>
      <c r="H398" s="119">
        <f>R6</f>
        <v>603</v>
      </c>
      <c r="I398" s="109">
        <f aca="true" t="shared" si="26" ref="I398:I410">H398*F398/1000</f>
        <v>35.58</v>
      </c>
      <c r="J398" s="109"/>
      <c r="K398" s="109"/>
      <c r="L398" s="109"/>
      <c r="M398" s="116"/>
      <c r="N398" s="141"/>
      <c r="O398" s="89"/>
    </row>
    <row r="399" spans="2:15" ht="13.5">
      <c r="B399" s="119"/>
      <c r="C399" s="119"/>
      <c r="D399" s="119"/>
      <c r="E399" s="119" t="s">
        <v>19</v>
      </c>
      <c r="F399" s="119">
        <v>11</v>
      </c>
      <c r="G399" s="119">
        <v>11</v>
      </c>
      <c r="H399" s="119">
        <f>R60</f>
        <v>48</v>
      </c>
      <c r="I399" s="109">
        <f t="shared" si="26"/>
        <v>0.53</v>
      </c>
      <c r="J399" s="109"/>
      <c r="K399" s="109"/>
      <c r="L399" s="109"/>
      <c r="M399" s="116"/>
      <c r="N399" s="141"/>
      <c r="O399" s="89"/>
    </row>
    <row r="400" spans="2:15" ht="13.5">
      <c r="B400" s="119"/>
      <c r="C400" s="119"/>
      <c r="D400" s="119"/>
      <c r="E400" s="119" t="s">
        <v>166</v>
      </c>
      <c r="F400" s="119">
        <v>11</v>
      </c>
      <c r="G400" s="119">
        <v>11</v>
      </c>
      <c r="H400" s="119">
        <f>R60</f>
        <v>48</v>
      </c>
      <c r="I400" s="109">
        <f t="shared" si="26"/>
        <v>0.53</v>
      </c>
      <c r="J400" s="109"/>
      <c r="K400" s="109"/>
      <c r="L400" s="109"/>
      <c r="M400" s="116"/>
      <c r="N400" s="141"/>
      <c r="O400" s="89"/>
    </row>
    <row r="401" spans="2:15" ht="13.5">
      <c r="B401" s="119"/>
      <c r="C401" s="119"/>
      <c r="D401" s="119"/>
      <c r="E401" s="119" t="s">
        <v>6</v>
      </c>
      <c r="F401" s="119">
        <v>12</v>
      </c>
      <c r="G401" s="119">
        <v>11</v>
      </c>
      <c r="H401" s="141">
        <f>R19</f>
        <v>49</v>
      </c>
      <c r="I401" s="109">
        <f>H401*F401/1000</f>
        <v>0.59</v>
      </c>
      <c r="J401" s="109"/>
      <c r="K401" s="109"/>
      <c r="L401" s="109"/>
      <c r="M401" s="116"/>
      <c r="N401" s="141"/>
      <c r="O401" s="89"/>
    </row>
    <row r="402" spans="2:15" ht="13.5">
      <c r="B402" s="119"/>
      <c r="C402" s="119"/>
      <c r="D402" s="119"/>
      <c r="E402" s="119" t="s">
        <v>11</v>
      </c>
      <c r="F402" s="119">
        <v>0.1</v>
      </c>
      <c r="G402" s="119">
        <v>0.1</v>
      </c>
      <c r="H402" s="109">
        <f>R5</f>
        <v>9.5</v>
      </c>
      <c r="I402" s="109">
        <f>H402*F402</f>
        <v>0.95</v>
      </c>
      <c r="J402" s="109"/>
      <c r="K402" s="109"/>
      <c r="L402" s="109"/>
      <c r="M402" s="116"/>
      <c r="N402" s="141"/>
      <c r="O402" s="89"/>
    </row>
    <row r="403" spans="2:15" ht="13.5">
      <c r="B403" s="119"/>
      <c r="C403" s="119"/>
      <c r="D403" s="119"/>
      <c r="E403" s="119" t="s">
        <v>26</v>
      </c>
      <c r="F403" s="119">
        <v>4</v>
      </c>
      <c r="G403" s="119">
        <v>4</v>
      </c>
      <c r="H403" s="141">
        <f>R34</f>
        <v>147</v>
      </c>
      <c r="I403" s="109">
        <f>H403*F403/1000</f>
        <v>0.59</v>
      </c>
      <c r="J403" s="109">
        <v>10.37</v>
      </c>
      <c r="K403" s="109">
        <v>8.18</v>
      </c>
      <c r="L403" s="109">
        <v>2.63</v>
      </c>
      <c r="M403" s="116">
        <v>125.62</v>
      </c>
      <c r="N403" s="141">
        <v>277</v>
      </c>
      <c r="O403" s="89">
        <f>(J403+L403)*4+K403*9</f>
        <v>125.62</v>
      </c>
    </row>
    <row r="404" spans="2:15" ht="13.5">
      <c r="B404" s="119"/>
      <c r="C404" s="190" t="s">
        <v>148</v>
      </c>
      <c r="D404" s="119"/>
      <c r="E404" s="119" t="s">
        <v>27</v>
      </c>
      <c r="F404" s="119">
        <v>2</v>
      </c>
      <c r="G404" s="119">
        <v>2</v>
      </c>
      <c r="H404" s="141">
        <f>R11</f>
        <v>481</v>
      </c>
      <c r="I404" s="109">
        <f>H404*F404/1000</f>
        <v>0.96</v>
      </c>
      <c r="J404" s="109"/>
      <c r="K404" s="109"/>
      <c r="L404" s="109"/>
      <c r="M404" s="116"/>
      <c r="N404" s="141"/>
      <c r="O404" s="89"/>
    </row>
    <row r="405" spans="2:15" ht="13.5">
      <c r="B405" s="119"/>
      <c r="C405" s="119"/>
      <c r="D405" s="119"/>
      <c r="E405" s="119" t="s">
        <v>73</v>
      </c>
      <c r="F405" s="119">
        <v>2</v>
      </c>
      <c r="G405" s="119">
        <v>2</v>
      </c>
      <c r="H405" s="141">
        <f>R37</f>
        <v>48</v>
      </c>
      <c r="I405" s="109">
        <f>H405*F405/1000</f>
        <v>0.1</v>
      </c>
      <c r="J405" s="109"/>
      <c r="K405" s="109"/>
      <c r="L405" s="109"/>
      <c r="M405" s="116"/>
      <c r="N405" s="141"/>
      <c r="O405" s="89"/>
    </row>
    <row r="406" spans="2:15" ht="13.5">
      <c r="B406" s="119"/>
      <c r="C406" s="119"/>
      <c r="D406" s="119"/>
      <c r="E406" s="119" t="s">
        <v>18</v>
      </c>
      <c r="F406" s="119">
        <v>2</v>
      </c>
      <c r="G406" s="119">
        <v>2</v>
      </c>
      <c r="H406" s="141">
        <f>R25</f>
        <v>124</v>
      </c>
      <c r="I406" s="109">
        <f>H406*F406/1000</f>
        <v>0.25</v>
      </c>
      <c r="J406" s="109"/>
      <c r="K406" s="109"/>
      <c r="L406" s="109"/>
      <c r="M406" s="116"/>
      <c r="N406" s="141"/>
      <c r="O406" s="89"/>
    </row>
    <row r="407" spans="2:15" ht="13.5">
      <c r="B407" s="119" t="s">
        <v>35</v>
      </c>
      <c r="C407" s="119"/>
      <c r="D407" s="119"/>
      <c r="E407" s="119" t="s">
        <v>8</v>
      </c>
      <c r="F407" s="119">
        <v>6</v>
      </c>
      <c r="G407" s="119">
        <v>4</v>
      </c>
      <c r="H407" s="141">
        <f>R20</f>
        <v>67</v>
      </c>
      <c r="I407" s="109">
        <f t="shared" si="26"/>
        <v>0.4</v>
      </c>
      <c r="J407" s="109"/>
      <c r="K407" s="109"/>
      <c r="L407" s="109"/>
      <c r="M407" s="116"/>
      <c r="N407" s="141"/>
      <c r="O407" s="89"/>
    </row>
    <row r="408" spans="2:15" ht="13.5">
      <c r="B408" s="119"/>
      <c r="C408" s="119"/>
      <c r="D408" s="119"/>
      <c r="E408" s="119" t="s">
        <v>6</v>
      </c>
      <c r="F408" s="119">
        <v>4</v>
      </c>
      <c r="G408" s="119">
        <v>2</v>
      </c>
      <c r="H408" s="141">
        <f>R19</f>
        <v>49</v>
      </c>
      <c r="I408" s="109">
        <f t="shared" si="26"/>
        <v>0.2</v>
      </c>
      <c r="J408" s="109">
        <v>0.37</v>
      </c>
      <c r="K408" s="109">
        <v>1.61</v>
      </c>
      <c r="L408" s="109">
        <v>2.17</v>
      </c>
      <c r="M408" s="116">
        <v>24.65</v>
      </c>
      <c r="N408" s="141">
        <v>824</v>
      </c>
      <c r="O408" s="89">
        <f>(J408+L408)*4+K408*9</f>
        <v>24.65</v>
      </c>
    </row>
    <row r="409" spans="2:15" ht="13.5">
      <c r="B409" s="119">
        <v>2</v>
      </c>
      <c r="C409" s="178" t="s">
        <v>171</v>
      </c>
      <c r="D409" s="119">
        <v>150</v>
      </c>
      <c r="E409" s="119" t="s">
        <v>22</v>
      </c>
      <c r="F409" s="119">
        <v>46</v>
      </c>
      <c r="G409" s="119">
        <v>46</v>
      </c>
      <c r="H409" s="141">
        <f>R51</f>
        <v>65</v>
      </c>
      <c r="I409" s="109">
        <f t="shared" si="26"/>
        <v>2.99</v>
      </c>
      <c r="J409" s="109"/>
      <c r="K409" s="109"/>
      <c r="L409" s="109"/>
      <c r="M409" s="116"/>
      <c r="N409" s="141"/>
      <c r="O409" s="89"/>
    </row>
    <row r="410" spans="2:15" ht="13.5">
      <c r="B410" s="119"/>
      <c r="C410" s="218"/>
      <c r="D410" s="218"/>
      <c r="E410" s="119" t="s">
        <v>27</v>
      </c>
      <c r="F410" s="119">
        <v>5</v>
      </c>
      <c r="G410" s="119">
        <v>5</v>
      </c>
      <c r="H410" s="141">
        <f>R11</f>
        <v>481</v>
      </c>
      <c r="I410" s="109">
        <f t="shared" si="26"/>
        <v>2.41</v>
      </c>
      <c r="J410" s="109">
        <v>5.76</v>
      </c>
      <c r="K410" s="109">
        <v>0.83</v>
      </c>
      <c r="L410" s="109">
        <v>31.14</v>
      </c>
      <c r="M410" s="116">
        <v>155.07</v>
      </c>
      <c r="N410" s="141">
        <v>753</v>
      </c>
      <c r="O410" s="89">
        <f>(J410+L410)*4+K410*9</f>
        <v>155.07</v>
      </c>
    </row>
    <row r="411" spans="2:15" ht="13.5">
      <c r="B411" s="119">
        <v>3</v>
      </c>
      <c r="C411" s="190" t="s">
        <v>34</v>
      </c>
      <c r="D411" s="119">
        <v>50</v>
      </c>
      <c r="E411" s="119" t="s">
        <v>19</v>
      </c>
      <c r="F411" s="119">
        <v>50</v>
      </c>
      <c r="G411" s="119">
        <v>50</v>
      </c>
      <c r="H411" s="119">
        <f>R60</f>
        <v>48</v>
      </c>
      <c r="I411" s="109">
        <f aca="true" t="shared" si="27" ref="I411:I416">F411*H411/1000</f>
        <v>2.4</v>
      </c>
      <c r="J411" s="109">
        <v>3.35</v>
      </c>
      <c r="K411" s="109">
        <v>0.35</v>
      </c>
      <c r="L411" s="109">
        <v>25.15</v>
      </c>
      <c r="M411" s="116">
        <v>117.15</v>
      </c>
      <c r="N411" s="141"/>
      <c r="O411" s="89">
        <f>(J411+L411)*4+K411*9</f>
        <v>117.15</v>
      </c>
    </row>
    <row r="412" spans="2:15" ht="13.5">
      <c r="B412" s="119">
        <v>4</v>
      </c>
      <c r="C412" s="190" t="s">
        <v>137</v>
      </c>
      <c r="D412" s="119">
        <v>200</v>
      </c>
      <c r="E412" s="119" t="s">
        <v>14</v>
      </c>
      <c r="F412" s="119">
        <v>1</v>
      </c>
      <c r="G412" s="119">
        <v>1</v>
      </c>
      <c r="H412" s="119">
        <f>R58</f>
        <v>514</v>
      </c>
      <c r="I412" s="109">
        <f t="shared" si="27"/>
        <v>0.51</v>
      </c>
      <c r="J412" s="119"/>
      <c r="K412" s="119"/>
      <c r="L412" s="119"/>
      <c r="M412" s="219"/>
      <c r="N412" s="141"/>
      <c r="O412" s="89"/>
    </row>
    <row r="413" spans="2:15" ht="13.5">
      <c r="B413" s="119"/>
      <c r="C413" s="110"/>
      <c r="D413" s="145"/>
      <c r="E413" s="119" t="s">
        <v>10</v>
      </c>
      <c r="F413" s="119">
        <v>85</v>
      </c>
      <c r="G413" s="119">
        <v>85</v>
      </c>
      <c r="H413" s="119">
        <f>R10</f>
        <v>68</v>
      </c>
      <c r="I413" s="109">
        <f t="shared" si="27"/>
        <v>5.78</v>
      </c>
      <c r="J413" s="109"/>
      <c r="K413" s="109"/>
      <c r="L413" s="109"/>
      <c r="M413" s="116"/>
      <c r="N413" s="141"/>
      <c r="O413" s="89"/>
    </row>
    <row r="414" spans="2:15" ht="13.5">
      <c r="B414" s="119"/>
      <c r="C414" s="112"/>
      <c r="D414" s="145"/>
      <c r="E414" s="119" t="s">
        <v>2</v>
      </c>
      <c r="F414" s="119">
        <v>10</v>
      </c>
      <c r="G414" s="119">
        <v>10</v>
      </c>
      <c r="H414" s="119">
        <f>R50</f>
        <v>94</v>
      </c>
      <c r="I414" s="109">
        <f t="shared" si="27"/>
        <v>0.94</v>
      </c>
      <c r="J414" s="151">
        <v>3.12</v>
      </c>
      <c r="K414" s="151">
        <v>3.24</v>
      </c>
      <c r="L414" s="151">
        <v>17.7</v>
      </c>
      <c r="M414" s="152">
        <v>112.44</v>
      </c>
      <c r="N414" s="141">
        <v>1011</v>
      </c>
      <c r="O414" s="89">
        <f>(J414+L414)*4+K414*9</f>
        <v>112.44</v>
      </c>
    </row>
    <row r="415" spans="2:15" ht="13.5">
      <c r="B415" s="119">
        <v>5</v>
      </c>
      <c r="C415" s="110" t="s">
        <v>143</v>
      </c>
      <c r="D415" s="145">
        <v>80</v>
      </c>
      <c r="E415" s="119" t="s">
        <v>144</v>
      </c>
      <c r="F415" s="119">
        <v>80</v>
      </c>
      <c r="G415" s="119"/>
      <c r="H415" s="119">
        <f>R26</f>
        <v>116</v>
      </c>
      <c r="I415" s="109">
        <f t="shared" si="27"/>
        <v>9.28</v>
      </c>
      <c r="J415" s="109">
        <v>0.32</v>
      </c>
      <c r="K415" s="109">
        <v>0.32</v>
      </c>
      <c r="L415" s="109">
        <v>7.84</v>
      </c>
      <c r="M415" s="116">
        <v>35.52</v>
      </c>
      <c r="N415" s="141"/>
      <c r="O415" s="89">
        <f>(J415+L415)*4+K415*9</f>
        <v>35.52</v>
      </c>
    </row>
    <row r="416" spans="2:15" ht="13.5">
      <c r="B416" s="119"/>
      <c r="C416" s="112"/>
      <c r="D416" s="145"/>
      <c r="E416" s="119" t="s">
        <v>128</v>
      </c>
      <c r="F416" s="119">
        <v>3.5</v>
      </c>
      <c r="G416" s="119">
        <v>3.5</v>
      </c>
      <c r="H416" s="119">
        <f>R54</f>
        <v>23</v>
      </c>
      <c r="I416" s="109">
        <f t="shared" si="27"/>
        <v>0.08</v>
      </c>
      <c r="J416" s="109"/>
      <c r="K416" s="109"/>
      <c r="L416" s="109"/>
      <c r="M416" s="116"/>
      <c r="N416" s="141"/>
      <c r="O416" s="89"/>
    </row>
    <row r="417" spans="2:15" ht="13.5">
      <c r="B417" s="119"/>
      <c r="C417" s="226" t="s">
        <v>202</v>
      </c>
      <c r="D417" s="162">
        <f>SUM(D398:D416)</f>
        <v>610</v>
      </c>
      <c r="E417" s="119"/>
      <c r="F417" s="119"/>
      <c r="G417" s="119"/>
      <c r="H417" s="119"/>
      <c r="I417" s="163">
        <f>SUM(I398:I416)</f>
        <v>65.07</v>
      </c>
      <c r="J417" s="163">
        <f>SUM(J398:J416)</f>
        <v>23.29</v>
      </c>
      <c r="K417" s="163">
        <f>SUM(K398:K416)</f>
        <v>14.53</v>
      </c>
      <c r="L417" s="163">
        <f>SUM(L398:L416)</f>
        <v>86.63</v>
      </c>
      <c r="M417" s="163">
        <f>SUM(M398:M416)</f>
        <v>570.45</v>
      </c>
      <c r="N417" s="156"/>
      <c r="O417" s="89">
        <f>(J417+L417)*4+K417*9</f>
        <v>570.45</v>
      </c>
    </row>
    <row r="418" spans="2:15" ht="13.5">
      <c r="B418" s="119"/>
      <c r="C418" s="157" t="s">
        <v>155</v>
      </c>
      <c r="D418" s="112"/>
      <c r="E418" s="112"/>
      <c r="F418" s="119"/>
      <c r="G418" s="119"/>
      <c r="H418" s="119"/>
      <c r="I418" s="109"/>
      <c r="J418" s="109"/>
      <c r="K418" s="109"/>
      <c r="L418" s="109"/>
      <c r="M418" s="116"/>
      <c r="N418" s="141"/>
      <c r="O418" s="89"/>
    </row>
    <row r="419" spans="2:15" ht="13.5">
      <c r="B419" s="119">
        <v>1</v>
      </c>
      <c r="C419" s="182" t="s">
        <v>94</v>
      </c>
      <c r="D419" s="183" t="s">
        <v>175</v>
      </c>
      <c r="E419" s="183" t="s">
        <v>15</v>
      </c>
      <c r="F419" s="119">
        <v>34</v>
      </c>
      <c r="G419" s="119">
        <v>29</v>
      </c>
      <c r="H419" s="119">
        <f>R21</f>
        <v>57</v>
      </c>
      <c r="I419" s="109">
        <f aca="true" t="shared" si="28" ref="I419:I442">F419*H419/1000</f>
        <v>1.94</v>
      </c>
      <c r="J419" s="109"/>
      <c r="K419" s="109"/>
      <c r="L419" s="109"/>
      <c r="M419" s="116"/>
      <c r="N419" s="141"/>
      <c r="O419" s="89"/>
    </row>
    <row r="420" spans="2:15" ht="13.5">
      <c r="B420" s="119"/>
      <c r="C420" s="182" t="s">
        <v>95</v>
      </c>
      <c r="D420" s="183"/>
      <c r="E420" s="183" t="s">
        <v>17</v>
      </c>
      <c r="F420" s="119">
        <v>20</v>
      </c>
      <c r="G420" s="119">
        <v>16</v>
      </c>
      <c r="H420" s="119">
        <f>R18</f>
        <v>51</v>
      </c>
      <c r="I420" s="109">
        <f t="shared" si="28"/>
        <v>1.02</v>
      </c>
      <c r="J420" s="109"/>
      <c r="K420" s="109"/>
      <c r="L420" s="109"/>
      <c r="M420" s="116"/>
      <c r="N420" s="141"/>
      <c r="O420" s="89"/>
    </row>
    <row r="421" spans="2:15" ht="13.5">
      <c r="B421" s="119"/>
      <c r="C421" s="191"/>
      <c r="D421" s="183"/>
      <c r="E421" s="183" t="s">
        <v>7</v>
      </c>
      <c r="F421" s="119">
        <v>24</v>
      </c>
      <c r="G421" s="119">
        <v>18</v>
      </c>
      <c r="H421" s="119">
        <f>R16</f>
        <v>58</v>
      </c>
      <c r="I421" s="109">
        <f t="shared" si="28"/>
        <v>1.39</v>
      </c>
      <c r="J421" s="109"/>
      <c r="K421" s="109"/>
      <c r="L421" s="109"/>
      <c r="M421" s="116"/>
      <c r="N421" s="141"/>
      <c r="O421" s="89"/>
    </row>
    <row r="422" spans="2:15" ht="13.5">
      <c r="B422" s="119"/>
      <c r="C422" s="191"/>
      <c r="D422" s="183"/>
      <c r="E422" s="183" t="s">
        <v>8</v>
      </c>
      <c r="F422" s="119">
        <v>10</v>
      </c>
      <c r="G422" s="119">
        <v>8</v>
      </c>
      <c r="H422" s="119">
        <f>R20</f>
        <v>67</v>
      </c>
      <c r="I422" s="109">
        <f t="shared" si="28"/>
        <v>0.67</v>
      </c>
      <c r="J422" s="109"/>
      <c r="K422" s="109"/>
      <c r="L422" s="109"/>
      <c r="M422" s="116"/>
      <c r="N422" s="141"/>
      <c r="O422" s="89"/>
    </row>
    <row r="423" spans="2:15" ht="13.5">
      <c r="B423" s="119"/>
      <c r="C423" s="191"/>
      <c r="D423" s="183"/>
      <c r="E423" s="183" t="s">
        <v>6</v>
      </c>
      <c r="F423" s="119">
        <v>10</v>
      </c>
      <c r="G423" s="119">
        <v>8</v>
      </c>
      <c r="H423" s="119">
        <f>R19</f>
        <v>49</v>
      </c>
      <c r="I423" s="109">
        <f t="shared" si="28"/>
        <v>0.49</v>
      </c>
      <c r="J423" s="109"/>
      <c r="K423" s="109"/>
      <c r="L423" s="109"/>
      <c r="M423" s="116"/>
      <c r="N423" s="141"/>
      <c r="O423" s="89"/>
    </row>
    <row r="424" spans="2:15" ht="13.5">
      <c r="B424" s="119"/>
      <c r="C424" s="191"/>
      <c r="D424" s="183"/>
      <c r="E424" s="183" t="s">
        <v>18</v>
      </c>
      <c r="F424" s="119">
        <v>3</v>
      </c>
      <c r="G424" s="119">
        <v>3</v>
      </c>
      <c r="H424" s="119">
        <f>R25</f>
        <v>124</v>
      </c>
      <c r="I424" s="109">
        <f t="shared" si="28"/>
        <v>0.37</v>
      </c>
      <c r="J424" s="109"/>
      <c r="K424" s="109"/>
      <c r="L424" s="109"/>
      <c r="M424" s="116"/>
      <c r="N424" s="141"/>
      <c r="O424" s="89"/>
    </row>
    <row r="425" spans="2:15" ht="13.5">
      <c r="B425" s="119"/>
      <c r="C425" s="191"/>
      <c r="D425" s="183"/>
      <c r="E425" s="183" t="s">
        <v>26</v>
      </c>
      <c r="F425" s="119">
        <v>4</v>
      </c>
      <c r="G425" s="119">
        <v>4</v>
      </c>
      <c r="H425" s="211">
        <f>R34</f>
        <v>147</v>
      </c>
      <c r="I425" s="109">
        <f>F425*H425/1000</f>
        <v>0.59</v>
      </c>
      <c r="J425" s="109">
        <v>2.26</v>
      </c>
      <c r="K425" s="109">
        <v>4.18</v>
      </c>
      <c r="L425" s="109">
        <v>10.2</v>
      </c>
      <c r="M425" s="116">
        <v>87.46</v>
      </c>
      <c r="N425" s="141">
        <v>176</v>
      </c>
      <c r="O425" s="89">
        <f>(J425+L425)*4+K425*9</f>
        <v>87.46</v>
      </c>
    </row>
    <row r="426" spans="2:15" ht="13.5">
      <c r="B426" s="119"/>
      <c r="C426" s="191"/>
      <c r="D426" s="183"/>
      <c r="E426" s="183" t="s">
        <v>9</v>
      </c>
      <c r="F426" s="119">
        <v>10</v>
      </c>
      <c r="G426" s="119">
        <v>10</v>
      </c>
      <c r="H426" s="211">
        <f>R12</f>
        <v>182</v>
      </c>
      <c r="I426" s="109">
        <f>F426*H426/1000</f>
        <v>1.82</v>
      </c>
      <c r="J426" s="109">
        <v>0.21</v>
      </c>
      <c r="K426" s="109">
        <v>2.82</v>
      </c>
      <c r="L426" s="109">
        <v>0.31</v>
      </c>
      <c r="M426" s="116">
        <v>27.46</v>
      </c>
      <c r="N426" s="220"/>
      <c r="O426" s="89">
        <f>(J426+L426)*4+K426*9</f>
        <v>27.46</v>
      </c>
    </row>
    <row r="427" spans="2:15" ht="15" customHeight="1">
      <c r="B427" s="119">
        <v>2</v>
      </c>
      <c r="C427" s="190" t="s">
        <v>173</v>
      </c>
      <c r="D427" s="121">
        <v>130</v>
      </c>
      <c r="E427" s="119" t="s">
        <v>16</v>
      </c>
      <c r="F427" s="121">
        <v>59</v>
      </c>
      <c r="G427" s="121">
        <v>59</v>
      </c>
      <c r="H427" s="211">
        <f>R6</f>
        <v>603</v>
      </c>
      <c r="I427" s="109">
        <f>F427*H427/1000</f>
        <v>35.58</v>
      </c>
      <c r="J427" s="109"/>
      <c r="K427" s="109"/>
      <c r="L427" s="109"/>
      <c r="M427" s="116"/>
      <c r="N427" s="141"/>
      <c r="O427" s="89"/>
    </row>
    <row r="428" spans="2:15" ht="13.5">
      <c r="B428" s="119"/>
      <c r="C428" s="119"/>
      <c r="D428" s="119"/>
      <c r="E428" s="119" t="s">
        <v>19</v>
      </c>
      <c r="F428" s="119">
        <v>11</v>
      </c>
      <c r="G428" s="119">
        <v>11</v>
      </c>
      <c r="H428" s="119">
        <f>R60</f>
        <v>48</v>
      </c>
      <c r="I428" s="109">
        <f t="shared" si="28"/>
        <v>0.53</v>
      </c>
      <c r="J428" s="109"/>
      <c r="K428" s="109"/>
      <c r="L428" s="109"/>
      <c r="M428" s="116"/>
      <c r="N428" s="141"/>
      <c r="O428" s="89"/>
    </row>
    <row r="429" spans="2:15" ht="13.5">
      <c r="B429" s="119"/>
      <c r="C429" s="119"/>
      <c r="D429" s="119"/>
      <c r="E429" s="119" t="s">
        <v>166</v>
      </c>
      <c r="F429" s="119">
        <v>11</v>
      </c>
      <c r="G429" s="119">
        <v>11</v>
      </c>
      <c r="H429" s="119">
        <f>R60</f>
        <v>48</v>
      </c>
      <c r="I429" s="109">
        <f t="shared" si="28"/>
        <v>0.53</v>
      </c>
      <c r="J429" s="109"/>
      <c r="K429" s="109"/>
      <c r="L429" s="109"/>
      <c r="M429" s="116"/>
      <c r="N429" s="141"/>
      <c r="O429" s="89"/>
    </row>
    <row r="430" spans="2:15" ht="13.5">
      <c r="B430" s="119"/>
      <c r="C430" s="119"/>
      <c r="D430" s="119"/>
      <c r="E430" s="119" t="s">
        <v>6</v>
      </c>
      <c r="F430" s="119">
        <v>12</v>
      </c>
      <c r="G430" s="119">
        <v>11</v>
      </c>
      <c r="H430" s="119">
        <f>R19</f>
        <v>49</v>
      </c>
      <c r="I430" s="109">
        <f t="shared" si="28"/>
        <v>0.59</v>
      </c>
      <c r="J430" s="109"/>
      <c r="K430" s="109"/>
      <c r="L430" s="109"/>
      <c r="M430" s="116"/>
      <c r="N430" s="141"/>
      <c r="O430" s="89"/>
    </row>
    <row r="431" spans="2:15" ht="13.5">
      <c r="B431" s="119"/>
      <c r="C431" s="119"/>
      <c r="D431" s="119"/>
      <c r="E431" s="119" t="s">
        <v>11</v>
      </c>
      <c r="F431" s="119">
        <v>0.1</v>
      </c>
      <c r="G431" s="119">
        <v>0.1</v>
      </c>
      <c r="H431" s="109">
        <f>R5</f>
        <v>9.5</v>
      </c>
      <c r="I431" s="109">
        <f>F431*H431</f>
        <v>0.95</v>
      </c>
      <c r="J431" s="109"/>
      <c r="K431" s="109"/>
      <c r="L431" s="109"/>
      <c r="M431" s="116"/>
      <c r="N431" s="141"/>
      <c r="O431" s="89"/>
    </row>
    <row r="432" spans="2:15" ht="13.5">
      <c r="B432" s="119"/>
      <c r="C432" s="119"/>
      <c r="D432" s="119"/>
      <c r="E432" s="119" t="s">
        <v>26</v>
      </c>
      <c r="F432" s="119">
        <v>4</v>
      </c>
      <c r="G432" s="119">
        <v>4</v>
      </c>
      <c r="H432" s="119">
        <f>R34</f>
        <v>147</v>
      </c>
      <c r="I432" s="109">
        <f t="shared" si="28"/>
        <v>0.59</v>
      </c>
      <c r="J432" s="109">
        <v>10.37</v>
      </c>
      <c r="K432" s="109">
        <v>8.18</v>
      </c>
      <c r="L432" s="109">
        <v>2.63</v>
      </c>
      <c r="M432" s="116">
        <v>125.62</v>
      </c>
      <c r="N432" s="141">
        <v>277</v>
      </c>
      <c r="O432" s="89">
        <f>(J432+L432)*4+K432*9</f>
        <v>125.62</v>
      </c>
    </row>
    <row r="433" spans="2:15" ht="13.5">
      <c r="B433" s="119"/>
      <c r="C433" s="190" t="s">
        <v>148</v>
      </c>
      <c r="D433" s="119"/>
      <c r="E433" s="119" t="s">
        <v>27</v>
      </c>
      <c r="F433" s="119">
        <v>2</v>
      </c>
      <c r="G433" s="119">
        <v>2</v>
      </c>
      <c r="H433" s="119">
        <f>R11</f>
        <v>481</v>
      </c>
      <c r="I433" s="109">
        <f t="shared" si="28"/>
        <v>0.96</v>
      </c>
      <c r="J433" s="109"/>
      <c r="K433" s="109"/>
      <c r="L433" s="109"/>
      <c r="M433" s="116"/>
      <c r="N433" s="141"/>
      <c r="O433" s="89"/>
    </row>
    <row r="434" spans="2:15" ht="13.5">
      <c r="B434" s="119"/>
      <c r="C434" s="119"/>
      <c r="D434" s="119"/>
      <c r="E434" s="119" t="s">
        <v>73</v>
      </c>
      <c r="F434" s="119">
        <v>2</v>
      </c>
      <c r="G434" s="119">
        <v>2</v>
      </c>
      <c r="H434" s="119">
        <f>R37</f>
        <v>48</v>
      </c>
      <c r="I434" s="109">
        <f t="shared" si="28"/>
        <v>0.1</v>
      </c>
      <c r="J434" s="109"/>
      <c r="K434" s="109"/>
      <c r="L434" s="109"/>
      <c r="M434" s="116"/>
      <c r="N434" s="141"/>
      <c r="O434" s="89"/>
    </row>
    <row r="435" spans="2:15" ht="13.5">
      <c r="B435" s="119"/>
      <c r="C435" s="119"/>
      <c r="D435" s="119"/>
      <c r="E435" s="119" t="s">
        <v>18</v>
      </c>
      <c r="F435" s="119">
        <v>2</v>
      </c>
      <c r="G435" s="119">
        <v>2</v>
      </c>
      <c r="H435" s="119">
        <f>R25</f>
        <v>124</v>
      </c>
      <c r="I435" s="109">
        <f t="shared" si="28"/>
        <v>0.25</v>
      </c>
      <c r="J435" s="109"/>
      <c r="K435" s="109"/>
      <c r="L435" s="109"/>
      <c r="M435" s="116"/>
      <c r="N435" s="141"/>
      <c r="O435" s="89"/>
    </row>
    <row r="436" spans="2:15" ht="13.5">
      <c r="B436" s="119" t="s">
        <v>35</v>
      </c>
      <c r="C436" s="119"/>
      <c r="D436" s="119"/>
      <c r="E436" s="119" t="s">
        <v>8</v>
      </c>
      <c r="F436" s="119">
        <v>5</v>
      </c>
      <c r="G436" s="119">
        <v>3</v>
      </c>
      <c r="H436" s="141">
        <f>R20</f>
        <v>67</v>
      </c>
      <c r="I436" s="109">
        <f>F436*H436/1000</f>
        <v>0.34</v>
      </c>
      <c r="J436" s="109"/>
      <c r="K436" s="109"/>
      <c r="L436" s="109"/>
      <c r="M436" s="116"/>
      <c r="N436" s="141"/>
      <c r="O436" s="89"/>
    </row>
    <row r="437" spans="2:15" ht="13.5">
      <c r="B437" s="119"/>
      <c r="C437" s="119"/>
      <c r="D437" s="119"/>
      <c r="E437" s="119" t="s">
        <v>6</v>
      </c>
      <c r="F437" s="119">
        <v>4</v>
      </c>
      <c r="G437" s="119">
        <v>2</v>
      </c>
      <c r="H437" s="119">
        <f>R19</f>
        <v>49</v>
      </c>
      <c r="I437" s="109">
        <f t="shared" si="28"/>
        <v>0.2</v>
      </c>
      <c r="J437" s="109">
        <v>0.37</v>
      </c>
      <c r="K437" s="109">
        <v>1.61</v>
      </c>
      <c r="L437" s="109">
        <v>2.17</v>
      </c>
      <c r="M437" s="116">
        <v>24.65</v>
      </c>
      <c r="N437" s="141">
        <v>824</v>
      </c>
      <c r="O437" s="89">
        <f>(J437+L437)*4+K437*9</f>
        <v>24.65</v>
      </c>
    </row>
    <row r="438" spans="2:15" ht="13.5">
      <c r="B438" s="119">
        <v>3</v>
      </c>
      <c r="C438" s="178" t="s">
        <v>171</v>
      </c>
      <c r="D438" s="119">
        <v>150</v>
      </c>
      <c r="E438" s="119" t="s">
        <v>22</v>
      </c>
      <c r="F438" s="119">
        <v>45</v>
      </c>
      <c r="G438" s="119">
        <v>45</v>
      </c>
      <c r="H438" s="119">
        <f>R51</f>
        <v>65</v>
      </c>
      <c r="I438" s="109">
        <f t="shared" si="28"/>
        <v>2.93</v>
      </c>
      <c r="J438" s="109"/>
      <c r="K438" s="109"/>
      <c r="L438" s="109"/>
      <c r="M438" s="116"/>
      <c r="N438" s="141"/>
      <c r="O438" s="89"/>
    </row>
    <row r="439" spans="2:15" ht="13.5">
      <c r="B439" s="119"/>
      <c r="C439" s="218"/>
      <c r="D439" s="218"/>
      <c r="E439" s="119" t="s">
        <v>27</v>
      </c>
      <c r="F439" s="119">
        <v>5</v>
      </c>
      <c r="G439" s="119">
        <v>5</v>
      </c>
      <c r="H439" s="119">
        <f>R11</f>
        <v>481</v>
      </c>
      <c r="I439" s="109">
        <f t="shared" si="28"/>
        <v>2.41</v>
      </c>
      <c r="J439" s="109">
        <v>5.76</v>
      </c>
      <c r="K439" s="109">
        <v>0.83</v>
      </c>
      <c r="L439" s="109">
        <v>31.14</v>
      </c>
      <c r="M439" s="116">
        <v>155.07</v>
      </c>
      <c r="N439" s="141">
        <v>753</v>
      </c>
      <c r="O439" s="89">
        <f>(J439+L439)*4+K439*9</f>
        <v>155.07</v>
      </c>
    </row>
    <row r="440" spans="2:15" ht="13.5">
      <c r="B440" s="119">
        <v>4</v>
      </c>
      <c r="C440" s="190" t="s">
        <v>34</v>
      </c>
      <c r="D440" s="119">
        <v>40</v>
      </c>
      <c r="E440" s="119" t="s">
        <v>19</v>
      </c>
      <c r="F440" s="121">
        <v>40</v>
      </c>
      <c r="G440" s="121">
        <v>40</v>
      </c>
      <c r="H440" s="121">
        <f>R60</f>
        <v>48</v>
      </c>
      <c r="I440" s="109">
        <f t="shared" si="28"/>
        <v>1.92</v>
      </c>
      <c r="J440" s="109">
        <v>2.68</v>
      </c>
      <c r="K440" s="109">
        <v>0.28</v>
      </c>
      <c r="L440" s="109">
        <v>20.12</v>
      </c>
      <c r="M440" s="116">
        <v>93.72</v>
      </c>
      <c r="N440" s="141"/>
      <c r="O440" s="89">
        <f>(J440+L440)*4+K440*9</f>
        <v>93.72</v>
      </c>
    </row>
    <row r="441" spans="2:15" ht="13.5">
      <c r="B441" s="119">
        <v>5</v>
      </c>
      <c r="C441" s="110" t="s">
        <v>136</v>
      </c>
      <c r="D441" s="119">
        <v>200</v>
      </c>
      <c r="E441" s="119" t="s">
        <v>20</v>
      </c>
      <c r="F441" s="121">
        <v>13</v>
      </c>
      <c r="G441" s="121">
        <v>13</v>
      </c>
      <c r="H441" s="121">
        <f>R30</f>
        <v>149</v>
      </c>
      <c r="I441" s="109">
        <f t="shared" si="28"/>
        <v>1.94</v>
      </c>
      <c r="J441" s="109"/>
      <c r="K441" s="109"/>
      <c r="L441" s="109"/>
      <c r="M441" s="116"/>
      <c r="N441" s="141"/>
      <c r="O441" s="89"/>
    </row>
    <row r="442" spans="2:15" ht="13.5">
      <c r="B442" s="119"/>
      <c r="C442" s="110"/>
      <c r="D442" s="119"/>
      <c r="E442" s="119" t="s">
        <v>2</v>
      </c>
      <c r="F442" s="121">
        <v>12</v>
      </c>
      <c r="G442" s="121">
        <v>12</v>
      </c>
      <c r="H442" s="121">
        <f>R50</f>
        <v>94</v>
      </c>
      <c r="I442" s="109">
        <f t="shared" si="28"/>
        <v>1.13</v>
      </c>
      <c r="J442" s="109">
        <v>1.04</v>
      </c>
      <c r="K442" s="109">
        <v>0</v>
      </c>
      <c r="L442" s="109">
        <v>26.96</v>
      </c>
      <c r="M442" s="116">
        <v>112</v>
      </c>
      <c r="N442" s="148">
        <v>933</v>
      </c>
      <c r="O442" s="89">
        <f>(J442+L442)*4+K442*9</f>
        <v>112</v>
      </c>
    </row>
    <row r="443" spans="2:15" ht="13.5">
      <c r="B443" s="119"/>
      <c r="C443" s="110"/>
      <c r="D443" s="119"/>
      <c r="E443" s="119" t="s">
        <v>103</v>
      </c>
      <c r="F443" s="119">
        <v>0.0005</v>
      </c>
      <c r="G443" s="119">
        <v>0.0005</v>
      </c>
      <c r="H443" s="121"/>
      <c r="I443" s="109"/>
      <c r="J443" s="109"/>
      <c r="K443" s="109"/>
      <c r="L443" s="109"/>
      <c r="M443" s="116"/>
      <c r="N443" s="141"/>
      <c r="O443" s="89"/>
    </row>
    <row r="444" spans="2:15" ht="13.5">
      <c r="B444" s="119">
        <v>6</v>
      </c>
      <c r="C444" s="110" t="s">
        <v>143</v>
      </c>
      <c r="D444" s="119">
        <v>50</v>
      </c>
      <c r="E444" s="119" t="s">
        <v>144</v>
      </c>
      <c r="F444" s="119">
        <v>50</v>
      </c>
      <c r="G444" s="119"/>
      <c r="H444" s="119">
        <f>R26</f>
        <v>116</v>
      </c>
      <c r="I444" s="109">
        <f>H444*F444/1000</f>
        <v>5.8</v>
      </c>
      <c r="J444" s="109">
        <v>0.2</v>
      </c>
      <c r="K444" s="109">
        <v>0.2</v>
      </c>
      <c r="L444" s="109">
        <v>4.9</v>
      </c>
      <c r="M444" s="116">
        <v>22.2</v>
      </c>
      <c r="N444" s="141"/>
      <c r="O444" s="89">
        <f>(J444+L444)*4+K444*9</f>
        <v>22.2</v>
      </c>
    </row>
    <row r="445" spans="2:15" ht="13.5">
      <c r="B445" s="119"/>
      <c r="C445" s="190"/>
      <c r="D445" s="119"/>
      <c r="E445" s="119" t="s">
        <v>128</v>
      </c>
      <c r="F445" s="121">
        <v>1</v>
      </c>
      <c r="G445" s="121">
        <v>1</v>
      </c>
      <c r="H445" s="121">
        <f>R54</f>
        <v>23</v>
      </c>
      <c r="I445" s="109">
        <f>H445*F445/1000</f>
        <v>0.02</v>
      </c>
      <c r="J445" s="109"/>
      <c r="K445" s="109"/>
      <c r="L445" s="109"/>
      <c r="M445" s="116"/>
      <c r="N445" s="141"/>
      <c r="O445" s="89"/>
    </row>
    <row r="446" spans="2:15" ht="13.5">
      <c r="B446" s="119"/>
      <c r="C446" s="190"/>
      <c r="D446" s="119"/>
      <c r="E446" s="119" t="s">
        <v>93</v>
      </c>
      <c r="F446" s="121">
        <v>0.02</v>
      </c>
      <c r="G446" s="121">
        <v>0.02</v>
      </c>
      <c r="H446" s="121">
        <f>R59</f>
        <v>508</v>
      </c>
      <c r="I446" s="109">
        <f>H446*F446/1000</f>
        <v>0.01</v>
      </c>
      <c r="J446" s="109"/>
      <c r="K446" s="109"/>
      <c r="L446" s="109"/>
      <c r="M446" s="116"/>
      <c r="N446" s="141"/>
      <c r="O446" s="89"/>
    </row>
    <row r="447" spans="2:15" ht="13.5">
      <c r="B447" s="119"/>
      <c r="C447" s="226" t="s">
        <v>203</v>
      </c>
      <c r="D447" s="162">
        <v>780</v>
      </c>
      <c r="E447" s="119"/>
      <c r="F447" s="148"/>
      <c r="G447" s="148"/>
      <c r="H447" s="121"/>
      <c r="I447" s="163">
        <f>SUM(I419:I446)</f>
        <v>65.07</v>
      </c>
      <c r="J447" s="163">
        <f>SUM(J419:J446)</f>
        <v>22.89</v>
      </c>
      <c r="K447" s="163">
        <f>SUM(K419:K446)</f>
        <v>18.1</v>
      </c>
      <c r="L447" s="163">
        <f>SUM(L419:L446)</f>
        <v>98.43</v>
      </c>
      <c r="M447" s="163">
        <f>SUM(M419:M446)</f>
        <v>648.18</v>
      </c>
      <c r="N447" s="156"/>
      <c r="O447" s="89">
        <f>(J447+L447)*4+K447*9</f>
        <v>648.18</v>
      </c>
    </row>
    <row r="448" spans="2:15" ht="13.5">
      <c r="B448" s="268" t="s">
        <v>204</v>
      </c>
      <c r="C448" s="268"/>
      <c r="D448" s="268"/>
      <c r="E448" s="268"/>
      <c r="F448" s="268"/>
      <c r="G448" s="268"/>
      <c r="H448" s="268"/>
      <c r="I448" s="268"/>
      <c r="J448" s="163">
        <f>SUM(J417+J447)</f>
        <v>46.18</v>
      </c>
      <c r="K448" s="163">
        <f>SUM(K417+K447)</f>
        <v>32.63</v>
      </c>
      <c r="L448" s="163">
        <f>SUM(L417+L447)</f>
        <v>185.06</v>
      </c>
      <c r="M448" s="163">
        <f>SUM(M417+M447)</f>
        <v>1218.63</v>
      </c>
      <c r="N448" s="205"/>
      <c r="O448" s="89">
        <f>(J448+L448)*4+K448*9</f>
        <v>1218.63</v>
      </c>
    </row>
    <row r="449" spans="2:14" ht="13.5">
      <c r="B449" s="221"/>
      <c r="C449" s="222"/>
      <c r="D449" s="131"/>
      <c r="E449" s="131"/>
      <c r="F449" s="131"/>
      <c r="G449" s="131"/>
      <c r="H449" s="131"/>
      <c r="I449" s="199"/>
      <c r="J449" s="199"/>
      <c r="K449" s="199"/>
      <c r="L449" s="199"/>
      <c r="M449" s="200"/>
      <c r="N449" s="134"/>
    </row>
    <row r="450" spans="3:13" ht="13.5">
      <c r="C450" s="256" t="s">
        <v>64</v>
      </c>
      <c r="D450" s="256"/>
      <c r="E450" s="256"/>
      <c r="F450" s="256"/>
      <c r="G450" s="256"/>
      <c r="H450" s="225"/>
      <c r="I450" s="104"/>
      <c r="J450" s="104"/>
      <c r="K450" s="104"/>
      <c r="L450" s="104"/>
      <c r="M450" s="223"/>
    </row>
    <row r="451" spans="3:7" ht="13.5">
      <c r="C451" s="256" t="s">
        <v>206</v>
      </c>
      <c r="D451" s="256"/>
      <c r="E451" s="256"/>
      <c r="F451" s="256"/>
      <c r="G451" s="256"/>
    </row>
    <row r="452" spans="3:13" ht="13.5">
      <c r="C452" s="256" t="s">
        <v>205</v>
      </c>
      <c r="D452" s="256"/>
      <c r="E452" s="256"/>
      <c r="F452" s="256"/>
      <c r="G452" s="256"/>
      <c r="I452" s="104"/>
      <c r="J452" s="104"/>
      <c r="K452" s="104"/>
      <c r="L452" s="104"/>
      <c r="M452" s="223"/>
    </row>
    <row r="453" ht="13.5">
      <c r="C453" s="131"/>
    </row>
    <row r="467" ht="14.25" customHeight="1"/>
    <row r="468" ht="14.25" customHeight="1"/>
    <row r="469" ht="14.25" customHeight="1"/>
  </sheetData>
  <sheetProtection/>
  <mergeCells count="83">
    <mergeCell ref="D2:G2"/>
    <mergeCell ref="B448:I448"/>
    <mergeCell ref="B96:I96"/>
    <mergeCell ref="B138:I138"/>
    <mergeCell ref="B188:I188"/>
    <mergeCell ref="B229:I229"/>
    <mergeCell ref="B396:B397"/>
    <mergeCell ref="B350:I350"/>
    <mergeCell ref="B274:I274"/>
    <mergeCell ref="B313:I313"/>
    <mergeCell ref="B393:I393"/>
    <mergeCell ref="J232:J233"/>
    <mergeCell ref="J353:J354"/>
    <mergeCell ref="B353:B354"/>
    <mergeCell ref="E353:E354"/>
    <mergeCell ref="B316:B317"/>
    <mergeCell ref="B232:B233"/>
    <mergeCell ref="E232:E233"/>
    <mergeCell ref="B277:B278"/>
    <mergeCell ref="E277:E278"/>
    <mergeCell ref="K316:K317"/>
    <mergeCell ref="J277:J278"/>
    <mergeCell ref="E316:E317"/>
    <mergeCell ref="M353:M354"/>
    <mergeCell ref="J396:J397"/>
    <mergeCell ref="K396:K397"/>
    <mergeCell ref="L396:L397"/>
    <mergeCell ref="M277:M278"/>
    <mergeCell ref="J316:J317"/>
    <mergeCell ref="K277:K278"/>
    <mergeCell ref="M396:M397"/>
    <mergeCell ref="M316:M317"/>
    <mergeCell ref="K353:K354"/>
    <mergeCell ref="N52:N53"/>
    <mergeCell ref="M192:M193"/>
    <mergeCell ref="N100:N101"/>
    <mergeCell ref="L316:L317"/>
    <mergeCell ref="N316:N317"/>
    <mergeCell ref="N353:N354"/>
    <mergeCell ref="N232:N233"/>
    <mergeCell ref="N277:N278"/>
    <mergeCell ref="M232:M233"/>
    <mergeCell ref="L353:L354"/>
    <mergeCell ref="B4:B5"/>
    <mergeCell ref="E4:E5"/>
    <mergeCell ref="J4:J5"/>
    <mergeCell ref="K4:K5"/>
    <mergeCell ref="L4:L5"/>
    <mergeCell ref="M100:M101"/>
    <mergeCell ref="M4:M5"/>
    <mergeCell ref="M52:M53"/>
    <mergeCell ref="B46:I46"/>
    <mergeCell ref="N4:N5"/>
    <mergeCell ref="B52:B53"/>
    <mergeCell ref="E52:E53"/>
    <mergeCell ref="J52:J53"/>
    <mergeCell ref="K52:K53"/>
    <mergeCell ref="K142:K143"/>
    <mergeCell ref="L142:L143"/>
    <mergeCell ref="J100:J101"/>
    <mergeCell ref="K100:K101"/>
    <mergeCell ref="L100:L101"/>
    <mergeCell ref="L52:L53"/>
    <mergeCell ref="B192:B193"/>
    <mergeCell ref="E192:E193"/>
    <mergeCell ref="J192:J193"/>
    <mergeCell ref="K192:K193"/>
    <mergeCell ref="L192:L193"/>
    <mergeCell ref="E100:E101"/>
    <mergeCell ref="B100:B101"/>
    <mergeCell ref="B142:B143"/>
    <mergeCell ref="E142:E143"/>
    <mergeCell ref="J142:J143"/>
    <mergeCell ref="C452:G452"/>
    <mergeCell ref="C450:G450"/>
    <mergeCell ref="C451:G451"/>
    <mergeCell ref="M142:M143"/>
    <mergeCell ref="N142:N143"/>
    <mergeCell ref="N192:N193"/>
    <mergeCell ref="L232:L233"/>
    <mergeCell ref="K232:K233"/>
    <mergeCell ref="L277:L278"/>
    <mergeCell ref="N396:N397"/>
  </mergeCells>
  <printOptions/>
  <pageMargins left="0.54" right="0.1968503937007874" top="0.1968503937007874" bottom="0.1968503937007874" header="0.31496062992125984" footer="0.1968503937007874"/>
  <pageSetup fitToHeight="0" fitToWidth="1" horizontalDpi="600" verticalDpi="600" orientation="portrait" paperSize="9" scale="57" r:id="rId1"/>
  <rowBreaks count="9" manualBreakCount="9">
    <brk id="49" min="1" max="13" man="1"/>
    <brk id="98" max="255" man="1"/>
    <brk id="138" min="1" max="13" man="1"/>
    <brk id="188" min="1" max="13" man="1"/>
    <brk id="229" min="1" max="13" man="1"/>
    <brk id="274" min="1" max="13" man="1"/>
    <brk id="313" min="1" max="13" man="1"/>
    <brk id="350" min="1" max="13" man="1"/>
    <brk id="393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8"/>
  <sheetViews>
    <sheetView workbookViewId="0" topLeftCell="A1">
      <selection activeCell="H3" sqref="H3"/>
    </sheetView>
  </sheetViews>
  <sheetFormatPr defaultColWidth="9.125" defaultRowHeight="12.75"/>
  <cols>
    <col min="1" max="1" width="3.50390625" style="20" bestFit="1" customWidth="1"/>
    <col min="2" max="2" width="34.375" style="20" customWidth="1"/>
    <col min="3" max="3" width="4.625" style="20" bestFit="1" customWidth="1"/>
    <col min="4" max="4" width="8.375" style="92" customWidth="1"/>
    <col min="5" max="5" width="8.375" style="231" customWidth="1"/>
    <col min="6" max="6" width="8.375" style="20" customWidth="1"/>
    <col min="7" max="7" width="8.375" style="231" customWidth="1"/>
    <col min="8" max="8" width="8.375" style="20" customWidth="1"/>
    <col min="9" max="9" width="8.375" style="231" customWidth="1"/>
    <col min="10" max="10" width="8.375" style="20" customWidth="1"/>
    <col min="11" max="11" width="8.375" style="231" customWidth="1"/>
    <col min="12" max="12" width="8.375" style="20" customWidth="1"/>
    <col min="13" max="13" width="8.375" style="236" customWidth="1"/>
    <col min="14" max="14" width="8.375" style="20" customWidth="1"/>
    <col min="15" max="15" width="8.375" style="231" customWidth="1"/>
    <col min="16" max="16" width="8.375" style="20" customWidth="1"/>
    <col min="17" max="17" width="8.375" style="231" customWidth="1"/>
    <col min="18" max="18" width="8.375" style="20" customWidth="1"/>
    <col min="19" max="19" width="8.375" style="231" customWidth="1"/>
    <col min="20" max="20" width="8.375" style="20" customWidth="1"/>
    <col min="21" max="21" width="8.375" style="231" customWidth="1"/>
    <col min="22" max="22" width="8.375" style="20" customWidth="1"/>
    <col min="23" max="23" width="8.375" style="231" customWidth="1"/>
    <col min="24" max="26" width="8.375" style="20" customWidth="1"/>
    <col min="27" max="16384" width="9.125" style="20" customWidth="1"/>
  </cols>
  <sheetData>
    <row r="1" spans="2:14" ht="12.75">
      <c r="B1" s="83" t="s">
        <v>0</v>
      </c>
      <c r="H1" s="82"/>
      <c r="J1" s="33"/>
      <c r="L1" s="33"/>
      <c r="M1" s="231"/>
      <c r="N1" s="33"/>
    </row>
    <row r="2" spans="1:26" ht="27" customHeight="1">
      <c r="A2" s="27" t="s">
        <v>3</v>
      </c>
      <c r="B2" s="27" t="s">
        <v>51</v>
      </c>
      <c r="C2" s="27" t="s">
        <v>174</v>
      </c>
      <c r="D2" s="93" t="s">
        <v>52</v>
      </c>
      <c r="E2" s="90">
        <v>1</v>
      </c>
      <c r="F2" s="27" t="s">
        <v>53</v>
      </c>
      <c r="G2" s="90">
        <v>2</v>
      </c>
      <c r="H2" s="27" t="s">
        <v>53</v>
      </c>
      <c r="I2" s="90">
        <v>3</v>
      </c>
      <c r="J2" s="27" t="s">
        <v>53</v>
      </c>
      <c r="K2" s="90">
        <v>4</v>
      </c>
      <c r="L2" s="27" t="s">
        <v>53</v>
      </c>
      <c r="M2" s="91">
        <v>5</v>
      </c>
      <c r="N2" s="27" t="s">
        <v>53</v>
      </c>
      <c r="O2" s="90">
        <v>1</v>
      </c>
      <c r="P2" s="27" t="s">
        <v>53</v>
      </c>
      <c r="Q2" s="90">
        <v>2</v>
      </c>
      <c r="R2" s="27" t="s">
        <v>53</v>
      </c>
      <c r="S2" s="90">
        <v>3</v>
      </c>
      <c r="T2" s="27" t="s">
        <v>53</v>
      </c>
      <c r="U2" s="90">
        <v>4</v>
      </c>
      <c r="V2" s="27" t="s">
        <v>53</v>
      </c>
      <c r="W2" s="90">
        <v>5</v>
      </c>
      <c r="X2" s="27" t="s">
        <v>53</v>
      </c>
      <c r="Y2" s="27" t="s">
        <v>55</v>
      </c>
      <c r="Z2" s="27" t="s">
        <v>53</v>
      </c>
    </row>
    <row r="3" spans="1:27" ht="13.5">
      <c r="A3" s="24">
        <v>1</v>
      </c>
      <c r="B3" s="22" t="str">
        <f>'Меню 4 кв 2022'!P5</f>
        <v>Яйцо (1 сорт)</v>
      </c>
      <c r="C3" s="23" t="str">
        <f>'Меню 4 кв 2022'!Q5</f>
        <v>шт</v>
      </c>
      <c r="D3" s="106">
        <f>'Меню 4 кв 2022'!R5</f>
        <v>9.5</v>
      </c>
      <c r="E3" s="232">
        <v>2</v>
      </c>
      <c r="F3" s="21">
        <f>E3*D3</f>
        <v>19</v>
      </c>
      <c r="G3" s="232">
        <v>0.2</v>
      </c>
      <c r="H3" s="21">
        <f>G3*D3</f>
        <v>1.9</v>
      </c>
      <c r="I3" s="232"/>
      <c r="J3" s="21">
        <f>I3*D3</f>
        <v>0</v>
      </c>
      <c r="K3" s="232"/>
      <c r="L3" s="21">
        <f>K3*D3</f>
        <v>0</v>
      </c>
      <c r="M3" s="235">
        <f>1+0.2</f>
        <v>1.2</v>
      </c>
      <c r="N3" s="21">
        <f>D3*M3</f>
        <v>11.4</v>
      </c>
      <c r="O3" s="232">
        <v>0.2</v>
      </c>
      <c r="P3" s="21">
        <f>O3*D3</f>
        <v>1.9</v>
      </c>
      <c r="Q3" s="232"/>
      <c r="R3" s="21">
        <f>D3*Q3</f>
        <v>0</v>
      </c>
      <c r="S3" s="232"/>
      <c r="T3" s="21">
        <f>D3*S3</f>
        <v>0</v>
      </c>
      <c r="U3" s="232"/>
      <c r="V3" s="21">
        <f>U3*D3</f>
        <v>0</v>
      </c>
      <c r="W3" s="232">
        <v>0.1</v>
      </c>
      <c r="X3" s="21">
        <f>D3*W3</f>
        <v>0.95</v>
      </c>
      <c r="Y3" s="28">
        <f>(E3+G3+I3+K3+M3+O3+Q3+S3+U3+W3)</f>
        <v>3.7</v>
      </c>
      <c r="Z3" s="21">
        <f>Y3*D3</f>
        <v>35.15</v>
      </c>
      <c r="AA3" s="20">
        <f>Y3*6</f>
        <v>22.2</v>
      </c>
    </row>
    <row r="4" spans="1:27" ht="27">
      <c r="A4" s="24">
        <v>2</v>
      </c>
      <c r="B4" s="22" t="str">
        <f>'Меню 4 кв 2022'!P6</f>
        <v>Мясо говядины (1 категории), без кости</v>
      </c>
      <c r="C4" s="23" t="str">
        <f>'Меню 4 кв 2022'!Q6</f>
        <v>кг</v>
      </c>
      <c r="D4" s="106">
        <f>'Меню 4 кв 2022'!R6</f>
        <v>603</v>
      </c>
      <c r="E4" s="232"/>
      <c r="F4" s="21">
        <f aca="true" t="shared" si="0" ref="F4:F56">D4*E4/1000</f>
        <v>0</v>
      </c>
      <c r="G4" s="232"/>
      <c r="H4" s="21">
        <f>G4*D4/1000</f>
        <v>0</v>
      </c>
      <c r="I4" s="232"/>
      <c r="J4" s="21">
        <f>I4*D4/1000</f>
        <v>0</v>
      </c>
      <c r="K4" s="232"/>
      <c r="L4" s="21">
        <f>K4*D4/1000</f>
        <v>0</v>
      </c>
      <c r="M4" s="235"/>
      <c r="N4" s="21">
        <f>D4*M4/1000</f>
        <v>0</v>
      </c>
      <c r="O4" s="232"/>
      <c r="P4" s="21">
        <f aca="true" t="shared" si="1" ref="P4:P56">D4*O4/1000</f>
        <v>0</v>
      </c>
      <c r="Q4" s="232"/>
      <c r="R4" s="21">
        <f aca="true" t="shared" si="2" ref="R4:R56">D4*Q4/1000</f>
        <v>0</v>
      </c>
      <c r="S4" s="232">
        <v>52</v>
      </c>
      <c r="T4" s="21">
        <f aca="true" t="shared" si="3" ref="T4:T56">D4*S4/1000</f>
        <v>31.36</v>
      </c>
      <c r="U4" s="232"/>
      <c r="V4" s="21">
        <f aca="true" t="shared" si="4" ref="V4:V56">U4*D4/1000</f>
        <v>0</v>
      </c>
      <c r="W4" s="232">
        <v>59</v>
      </c>
      <c r="X4" s="21">
        <f aca="true" t="shared" si="5" ref="X4:X56">D4*W4/1000</f>
        <v>35.58</v>
      </c>
      <c r="Y4" s="28">
        <f aca="true" t="shared" si="6" ref="Y4:Y57">(E4+G4+I4+K4+M4+O4+Q4+S4+U4+W4)</f>
        <v>111</v>
      </c>
      <c r="Z4" s="21">
        <f aca="true" t="shared" si="7" ref="Z4:Z35">Y4*D4/1000</f>
        <v>66.93</v>
      </c>
      <c r="AA4" s="20">
        <f aca="true" t="shared" si="8" ref="AA4:AA56">Y4*6</f>
        <v>666</v>
      </c>
    </row>
    <row r="5" spans="1:27" ht="13.5">
      <c r="A5" s="24">
        <v>3</v>
      </c>
      <c r="B5" s="22" t="str">
        <f>'Меню 4 кв 2022'!P7</f>
        <v>Мясо птицы (1 категории)</v>
      </c>
      <c r="C5" s="23" t="str">
        <f>'Меню 4 кв 2022'!Q7</f>
        <v>кг</v>
      </c>
      <c r="D5" s="106">
        <f>'Меню 4 кв 2022'!R7</f>
        <v>258</v>
      </c>
      <c r="E5" s="232"/>
      <c r="F5" s="21">
        <f t="shared" si="0"/>
        <v>0</v>
      </c>
      <c r="G5" s="232"/>
      <c r="H5" s="21">
        <f aca="true" t="shared" si="9" ref="H5:H56">G5*D5/1000</f>
        <v>0</v>
      </c>
      <c r="I5" s="232">
        <v>115</v>
      </c>
      <c r="J5" s="21">
        <f aca="true" t="shared" si="10" ref="J5:J56">I5*D5/1000</f>
        <v>29.67</v>
      </c>
      <c r="K5" s="232"/>
      <c r="L5" s="21">
        <f aca="true" t="shared" si="11" ref="L5:L56">K5*D5/1000</f>
        <v>0</v>
      </c>
      <c r="M5" s="235"/>
      <c r="N5" s="21">
        <f aca="true" t="shared" si="12" ref="N5:N56">D5*M5/1000</f>
        <v>0</v>
      </c>
      <c r="O5" s="232"/>
      <c r="P5" s="21">
        <f t="shared" si="1"/>
        <v>0</v>
      </c>
      <c r="Q5" s="232">
        <v>104</v>
      </c>
      <c r="R5" s="21">
        <f t="shared" si="2"/>
        <v>26.83</v>
      </c>
      <c r="S5" s="232"/>
      <c r="T5" s="21">
        <f t="shared" si="3"/>
        <v>0</v>
      </c>
      <c r="U5" s="232"/>
      <c r="V5" s="21">
        <f t="shared" si="4"/>
        <v>0</v>
      </c>
      <c r="W5" s="232"/>
      <c r="X5" s="21">
        <f t="shared" si="5"/>
        <v>0</v>
      </c>
      <c r="Y5" s="28">
        <f t="shared" si="6"/>
        <v>219</v>
      </c>
      <c r="Z5" s="21">
        <f t="shared" si="7"/>
        <v>56.5</v>
      </c>
      <c r="AA5" s="20">
        <f t="shared" si="8"/>
        <v>1314</v>
      </c>
    </row>
    <row r="6" spans="1:27" ht="13.5">
      <c r="A6" s="24">
        <v>4</v>
      </c>
      <c r="B6" s="22" t="str">
        <f>'Меню 4 кв 2022'!P8</f>
        <v>Сосиски говяжьи (высший сорт)</v>
      </c>
      <c r="C6" s="23" t="str">
        <f>'Меню 4 кв 2022'!Q8</f>
        <v>кг</v>
      </c>
      <c r="D6" s="106">
        <f>'Меню 4 кв 2022'!R8</f>
        <v>284</v>
      </c>
      <c r="E6" s="232"/>
      <c r="F6" s="21">
        <f t="shared" si="0"/>
        <v>0</v>
      </c>
      <c r="G6" s="232"/>
      <c r="H6" s="21">
        <f t="shared" si="9"/>
        <v>0</v>
      </c>
      <c r="I6" s="232"/>
      <c r="J6" s="21">
        <f t="shared" si="10"/>
        <v>0</v>
      </c>
      <c r="K6" s="232"/>
      <c r="L6" s="21">
        <f t="shared" si="11"/>
        <v>0</v>
      </c>
      <c r="M6" s="235">
        <v>65</v>
      </c>
      <c r="N6" s="21">
        <f t="shared" si="12"/>
        <v>18.46</v>
      </c>
      <c r="O6" s="232"/>
      <c r="P6" s="21">
        <f t="shared" si="1"/>
        <v>0</v>
      </c>
      <c r="Q6" s="232"/>
      <c r="R6" s="21">
        <f t="shared" si="2"/>
        <v>0</v>
      </c>
      <c r="S6" s="232"/>
      <c r="T6" s="21">
        <f t="shared" si="3"/>
        <v>0</v>
      </c>
      <c r="U6" s="232"/>
      <c r="V6" s="21">
        <f t="shared" si="4"/>
        <v>0</v>
      </c>
      <c r="W6" s="232"/>
      <c r="X6" s="21">
        <f t="shared" si="5"/>
        <v>0</v>
      </c>
      <c r="Y6" s="28">
        <f t="shared" si="6"/>
        <v>65</v>
      </c>
      <c r="Z6" s="21">
        <f t="shared" si="7"/>
        <v>18.46</v>
      </c>
      <c r="AA6" s="20">
        <f t="shared" si="8"/>
        <v>390</v>
      </c>
    </row>
    <row r="7" spans="1:27" ht="27">
      <c r="A7" s="24">
        <v>5</v>
      </c>
      <c r="B7" s="22" t="str">
        <f>'Меню 4 кв 2022'!P9</f>
        <v>Колбасы вареные для детского питания в/с</v>
      </c>
      <c r="C7" s="23" t="str">
        <f>'Меню 4 кв 2022'!Q9</f>
        <v>кг</v>
      </c>
      <c r="D7" s="106">
        <f>'Меню 4 кв 2022'!R9</f>
        <v>301</v>
      </c>
      <c r="E7" s="232"/>
      <c r="F7" s="21">
        <f t="shared" si="0"/>
        <v>0</v>
      </c>
      <c r="G7" s="232"/>
      <c r="H7" s="21">
        <f t="shared" si="9"/>
        <v>0</v>
      </c>
      <c r="I7" s="232"/>
      <c r="J7" s="21">
        <f t="shared" si="10"/>
        <v>0</v>
      </c>
      <c r="K7" s="232"/>
      <c r="L7" s="21">
        <f t="shared" si="11"/>
        <v>0</v>
      </c>
      <c r="M7" s="235"/>
      <c r="N7" s="21">
        <f t="shared" si="12"/>
        <v>0</v>
      </c>
      <c r="O7" s="232"/>
      <c r="P7" s="21">
        <f t="shared" si="1"/>
        <v>0</v>
      </c>
      <c r="Q7" s="232"/>
      <c r="R7" s="21">
        <f t="shared" si="2"/>
        <v>0</v>
      </c>
      <c r="S7" s="232"/>
      <c r="T7" s="21">
        <f t="shared" si="3"/>
        <v>0</v>
      </c>
      <c r="U7" s="232"/>
      <c r="V7" s="21">
        <f t="shared" si="4"/>
        <v>0</v>
      </c>
      <c r="W7" s="232"/>
      <c r="X7" s="21">
        <f t="shared" si="5"/>
        <v>0</v>
      </c>
      <c r="Y7" s="28">
        <f t="shared" si="6"/>
        <v>0</v>
      </c>
      <c r="Z7" s="21">
        <f t="shared" si="7"/>
        <v>0</v>
      </c>
      <c r="AA7" s="20">
        <f t="shared" si="8"/>
        <v>0</v>
      </c>
    </row>
    <row r="8" spans="1:27" ht="14.25" customHeight="1">
      <c r="A8" s="24">
        <v>6</v>
      </c>
      <c r="B8" s="22" t="str">
        <f>'Меню 4 кв 2022'!P10</f>
        <v>Молоко пастеризованное (2,5%)</v>
      </c>
      <c r="C8" s="23" t="str">
        <f>'Меню 4 кв 2022'!Q10</f>
        <v>л</v>
      </c>
      <c r="D8" s="106">
        <f>'Меню 4 кв 2022'!R10</f>
        <v>68</v>
      </c>
      <c r="E8" s="232">
        <v>25</v>
      </c>
      <c r="F8" s="21">
        <f t="shared" si="0"/>
        <v>1.7</v>
      </c>
      <c r="G8" s="232">
        <f>135+30+100</f>
        <v>265</v>
      </c>
      <c r="H8" s="21">
        <f t="shared" si="9"/>
        <v>18.02</v>
      </c>
      <c r="I8" s="232">
        <v>100</v>
      </c>
      <c r="J8" s="21">
        <f t="shared" si="10"/>
        <v>6.8</v>
      </c>
      <c r="K8" s="232">
        <f>30+85</f>
        <v>115</v>
      </c>
      <c r="L8" s="21">
        <f t="shared" si="11"/>
        <v>7.82</v>
      </c>
      <c r="M8" s="235">
        <v>85</v>
      </c>
      <c r="N8" s="21">
        <f t="shared" si="12"/>
        <v>5.78</v>
      </c>
      <c r="O8" s="232">
        <v>85</v>
      </c>
      <c r="P8" s="21">
        <f t="shared" si="1"/>
        <v>5.78</v>
      </c>
      <c r="Q8" s="232">
        <v>85</v>
      </c>
      <c r="R8" s="21">
        <f t="shared" si="2"/>
        <v>5.78</v>
      </c>
      <c r="S8" s="232"/>
      <c r="T8" s="21">
        <f t="shared" si="3"/>
        <v>0</v>
      </c>
      <c r="U8" s="232">
        <f>30+85</f>
        <v>115</v>
      </c>
      <c r="V8" s="21">
        <f t="shared" si="4"/>
        <v>7.82</v>
      </c>
      <c r="W8" s="232">
        <v>85</v>
      </c>
      <c r="X8" s="21">
        <f t="shared" si="5"/>
        <v>5.78</v>
      </c>
      <c r="Y8" s="28">
        <f t="shared" si="6"/>
        <v>960</v>
      </c>
      <c r="Z8" s="21">
        <f t="shared" si="7"/>
        <v>65.28</v>
      </c>
      <c r="AA8" s="20">
        <f t="shared" si="8"/>
        <v>5760</v>
      </c>
    </row>
    <row r="9" spans="1:27" ht="13.5">
      <c r="A9" s="24">
        <v>7</v>
      </c>
      <c r="B9" s="22" t="str">
        <f>'Меню 4 кв 2022'!P11</f>
        <v>Масло сливочное (72,5%)</v>
      </c>
      <c r="C9" s="23" t="str">
        <f>'Меню 4 кв 2022'!Q11</f>
        <v>кг</v>
      </c>
      <c r="D9" s="106">
        <f>'Меню 4 кв 2022'!R11</f>
        <v>481</v>
      </c>
      <c r="E9" s="232">
        <f>10+10</f>
        <v>20</v>
      </c>
      <c r="F9" s="21">
        <f t="shared" si="0"/>
        <v>9.62</v>
      </c>
      <c r="G9" s="232">
        <v>6</v>
      </c>
      <c r="H9" s="21">
        <f t="shared" si="9"/>
        <v>2.89</v>
      </c>
      <c r="I9" s="232">
        <v>5</v>
      </c>
      <c r="J9" s="21">
        <f t="shared" si="10"/>
        <v>2.41</v>
      </c>
      <c r="K9" s="232">
        <f>2+5</f>
        <v>7</v>
      </c>
      <c r="L9" s="21">
        <f t="shared" si="11"/>
        <v>3.37</v>
      </c>
      <c r="M9" s="235"/>
      <c r="N9" s="21">
        <f t="shared" si="12"/>
        <v>0</v>
      </c>
      <c r="O9" s="232">
        <f>6+10</f>
        <v>16</v>
      </c>
      <c r="P9" s="21">
        <f t="shared" si="1"/>
        <v>7.7</v>
      </c>
      <c r="Q9" s="232">
        <v>10</v>
      </c>
      <c r="R9" s="21">
        <f t="shared" si="2"/>
        <v>4.81</v>
      </c>
      <c r="S9" s="232"/>
      <c r="T9" s="21">
        <f t="shared" si="3"/>
        <v>0</v>
      </c>
      <c r="U9" s="232">
        <f>6+10</f>
        <v>16</v>
      </c>
      <c r="V9" s="21">
        <f t="shared" si="4"/>
        <v>7.7</v>
      </c>
      <c r="W9" s="232">
        <f>2+5</f>
        <v>7</v>
      </c>
      <c r="X9" s="21">
        <f t="shared" si="5"/>
        <v>3.37</v>
      </c>
      <c r="Y9" s="28">
        <f t="shared" si="6"/>
        <v>87</v>
      </c>
      <c r="Z9" s="21">
        <f t="shared" si="7"/>
        <v>41.85</v>
      </c>
      <c r="AA9" s="20">
        <f t="shared" si="8"/>
        <v>522</v>
      </c>
    </row>
    <row r="10" spans="1:27" ht="13.5">
      <c r="A10" s="24">
        <v>8</v>
      </c>
      <c r="B10" s="22" t="str">
        <f>'Меню 4 кв 2022'!P12</f>
        <v>Сметана (15%)</v>
      </c>
      <c r="C10" s="23" t="str">
        <f>'Меню 4 кв 2022'!Q12</f>
        <v>кг</v>
      </c>
      <c r="D10" s="106">
        <f>'Меню 4 кв 2022'!R12</f>
        <v>182</v>
      </c>
      <c r="E10" s="232"/>
      <c r="F10" s="21">
        <f t="shared" si="0"/>
        <v>0</v>
      </c>
      <c r="G10" s="232"/>
      <c r="H10" s="21">
        <f t="shared" si="9"/>
        <v>0</v>
      </c>
      <c r="I10" s="232">
        <v>13</v>
      </c>
      <c r="J10" s="21">
        <f t="shared" si="10"/>
        <v>2.37</v>
      </c>
      <c r="K10" s="232"/>
      <c r="L10" s="21">
        <f t="shared" si="11"/>
        <v>0</v>
      </c>
      <c r="M10" s="235"/>
      <c r="N10" s="21">
        <f t="shared" si="12"/>
        <v>0</v>
      </c>
      <c r="O10" s="232">
        <v>5</v>
      </c>
      <c r="P10" s="21">
        <f t="shared" si="1"/>
        <v>0.91</v>
      </c>
      <c r="Q10" s="232"/>
      <c r="R10" s="21">
        <f t="shared" si="2"/>
        <v>0</v>
      </c>
      <c r="S10" s="232"/>
      <c r="T10" s="21">
        <f t="shared" si="3"/>
        <v>0</v>
      </c>
      <c r="U10" s="232"/>
      <c r="V10" s="21">
        <f t="shared" si="4"/>
        <v>0</v>
      </c>
      <c r="W10" s="232"/>
      <c r="X10" s="21">
        <f t="shared" si="5"/>
        <v>0</v>
      </c>
      <c r="Y10" s="28">
        <f t="shared" si="6"/>
        <v>18</v>
      </c>
      <c r="Z10" s="21">
        <f t="shared" si="7"/>
        <v>3.28</v>
      </c>
      <c r="AA10" s="20">
        <f t="shared" si="8"/>
        <v>108</v>
      </c>
    </row>
    <row r="11" spans="1:27" ht="13.5">
      <c r="A11" s="24">
        <v>9</v>
      </c>
      <c r="B11" s="22" t="str">
        <f>'Меню 4 кв 2022'!P13</f>
        <v>Творог (5%)</v>
      </c>
      <c r="C11" s="23" t="str">
        <f>'Меню 4 кв 2022'!Q13</f>
        <v>кг</v>
      </c>
      <c r="D11" s="106">
        <f>'Меню 4 кв 2022'!R13</f>
        <v>206</v>
      </c>
      <c r="E11" s="232"/>
      <c r="F11" s="21">
        <f t="shared" si="0"/>
        <v>0</v>
      </c>
      <c r="G11" s="232"/>
      <c r="H11" s="21">
        <f t="shared" si="9"/>
        <v>0</v>
      </c>
      <c r="I11" s="232"/>
      <c r="J11" s="21">
        <f t="shared" si="10"/>
        <v>0</v>
      </c>
      <c r="K11" s="232"/>
      <c r="L11" s="21">
        <f t="shared" si="11"/>
        <v>0</v>
      </c>
      <c r="M11" s="235"/>
      <c r="N11" s="21">
        <f t="shared" si="12"/>
        <v>0</v>
      </c>
      <c r="O11" s="232">
        <v>105</v>
      </c>
      <c r="P11" s="21">
        <f t="shared" si="1"/>
        <v>21.63</v>
      </c>
      <c r="Q11" s="232"/>
      <c r="R11" s="21">
        <f t="shared" si="2"/>
        <v>0</v>
      </c>
      <c r="S11" s="232"/>
      <c r="T11" s="21">
        <f t="shared" si="3"/>
        <v>0</v>
      </c>
      <c r="U11" s="232"/>
      <c r="V11" s="21">
        <f t="shared" si="4"/>
        <v>0</v>
      </c>
      <c r="W11" s="232"/>
      <c r="X11" s="21">
        <f t="shared" si="5"/>
        <v>0</v>
      </c>
      <c r="Y11" s="28">
        <f t="shared" si="6"/>
        <v>105</v>
      </c>
      <c r="Z11" s="21">
        <f t="shared" si="7"/>
        <v>21.63</v>
      </c>
      <c r="AA11" s="20">
        <f t="shared" si="8"/>
        <v>630</v>
      </c>
    </row>
    <row r="12" spans="1:27" ht="13.5">
      <c r="A12" s="24">
        <v>10</v>
      </c>
      <c r="B12" s="22" t="str">
        <f>'Меню 4 кв 2022'!P14</f>
        <v>Сыр твердый (45%)</v>
      </c>
      <c r="C12" s="23" t="str">
        <f>'Меню 4 кв 2022'!Q14</f>
        <v>кг</v>
      </c>
      <c r="D12" s="106">
        <f>'Меню 4 кв 2022'!R14</f>
        <v>505</v>
      </c>
      <c r="E12" s="232">
        <f>14.5+10</f>
        <v>24.5</v>
      </c>
      <c r="F12" s="21">
        <f t="shared" si="0"/>
        <v>12.37</v>
      </c>
      <c r="G12" s="232">
        <v>35</v>
      </c>
      <c r="H12" s="21">
        <f t="shared" si="9"/>
        <v>17.68</v>
      </c>
      <c r="I12" s="232"/>
      <c r="J12" s="21">
        <f t="shared" si="10"/>
        <v>0</v>
      </c>
      <c r="K12" s="232"/>
      <c r="L12" s="21">
        <f t="shared" si="11"/>
        <v>0</v>
      </c>
      <c r="M12" s="235"/>
      <c r="N12" s="21">
        <f t="shared" si="12"/>
        <v>0</v>
      </c>
      <c r="O12" s="232"/>
      <c r="P12" s="21">
        <f t="shared" si="1"/>
        <v>0</v>
      </c>
      <c r="Q12" s="232"/>
      <c r="R12" s="21">
        <f t="shared" si="2"/>
        <v>0</v>
      </c>
      <c r="S12" s="232"/>
      <c r="T12" s="21">
        <f t="shared" si="3"/>
        <v>0</v>
      </c>
      <c r="U12" s="232"/>
      <c r="V12" s="21">
        <f t="shared" si="4"/>
        <v>0</v>
      </c>
      <c r="W12" s="232"/>
      <c r="X12" s="21">
        <f t="shared" si="5"/>
        <v>0</v>
      </c>
      <c r="Y12" s="28">
        <f t="shared" si="6"/>
        <v>59.5</v>
      </c>
      <c r="Z12" s="21">
        <f t="shared" si="7"/>
        <v>30.05</v>
      </c>
      <c r="AA12" s="20">
        <f t="shared" si="8"/>
        <v>357</v>
      </c>
    </row>
    <row r="13" spans="1:27" ht="27">
      <c r="A13" s="24">
        <v>11</v>
      </c>
      <c r="B13" s="22" t="str">
        <f>'Меню 4 кв 2022'!P15</f>
        <v>Молоко сгущенное цельное с сахаром (8,5%)</v>
      </c>
      <c r="C13" s="23" t="str">
        <f>'Меню 4 кв 2022'!Q15</f>
        <v>кг</v>
      </c>
      <c r="D13" s="106">
        <f>'Меню 4 кв 2022'!R15</f>
        <v>233</v>
      </c>
      <c r="E13" s="232"/>
      <c r="F13" s="21">
        <f t="shared" si="0"/>
        <v>0</v>
      </c>
      <c r="G13" s="232"/>
      <c r="H13" s="21">
        <f t="shared" si="9"/>
        <v>0</v>
      </c>
      <c r="I13" s="232"/>
      <c r="J13" s="21">
        <f t="shared" si="10"/>
        <v>0</v>
      </c>
      <c r="K13" s="232"/>
      <c r="L13" s="21">
        <f t="shared" si="11"/>
        <v>0</v>
      </c>
      <c r="M13" s="235"/>
      <c r="N13" s="21">
        <f t="shared" si="12"/>
        <v>0</v>
      </c>
      <c r="O13" s="232">
        <v>20</v>
      </c>
      <c r="P13" s="21">
        <f t="shared" si="1"/>
        <v>4.66</v>
      </c>
      <c r="Q13" s="232"/>
      <c r="R13" s="21">
        <f t="shared" si="2"/>
        <v>0</v>
      </c>
      <c r="S13" s="232"/>
      <c r="T13" s="21">
        <f t="shared" si="3"/>
        <v>0</v>
      </c>
      <c r="U13" s="232"/>
      <c r="V13" s="21">
        <f t="shared" si="4"/>
        <v>0</v>
      </c>
      <c r="W13" s="232"/>
      <c r="X13" s="21">
        <f t="shared" si="5"/>
        <v>0</v>
      </c>
      <c r="Y13" s="28">
        <f t="shared" si="6"/>
        <v>20</v>
      </c>
      <c r="Z13" s="21">
        <f t="shared" si="7"/>
        <v>4.66</v>
      </c>
      <c r="AA13" s="20">
        <f t="shared" si="8"/>
        <v>120</v>
      </c>
    </row>
    <row r="14" spans="1:27" ht="13.5">
      <c r="A14" s="24">
        <v>12</v>
      </c>
      <c r="B14" s="22" t="str">
        <f>'Меню 4 кв 2022'!P16</f>
        <v>Картофель (1 сорт)</v>
      </c>
      <c r="C14" s="23" t="str">
        <f>'Меню 4 кв 2022'!Q16</f>
        <v>кг</v>
      </c>
      <c r="D14" s="106">
        <f>'Меню 4 кв 2022'!R16</f>
        <v>58</v>
      </c>
      <c r="E14" s="232"/>
      <c r="F14" s="21">
        <f t="shared" si="0"/>
        <v>0</v>
      </c>
      <c r="G14" s="232"/>
      <c r="H14" s="21">
        <f t="shared" si="9"/>
        <v>0</v>
      </c>
      <c r="I14" s="232"/>
      <c r="J14" s="21">
        <f t="shared" si="10"/>
        <v>0</v>
      </c>
      <c r="K14" s="232">
        <v>184</v>
      </c>
      <c r="L14" s="21">
        <v>10.68</v>
      </c>
      <c r="M14" s="235"/>
      <c r="N14" s="21">
        <f t="shared" si="12"/>
        <v>0</v>
      </c>
      <c r="O14" s="232"/>
      <c r="P14" s="21">
        <f t="shared" si="1"/>
        <v>0</v>
      </c>
      <c r="Q14" s="232"/>
      <c r="R14" s="21">
        <f t="shared" si="2"/>
        <v>0</v>
      </c>
      <c r="S14" s="232">
        <v>147</v>
      </c>
      <c r="T14" s="21">
        <f t="shared" si="3"/>
        <v>8.53</v>
      </c>
      <c r="U14" s="232">
        <v>182</v>
      </c>
      <c r="V14" s="21">
        <f t="shared" si="4"/>
        <v>10.56</v>
      </c>
      <c r="W14" s="232"/>
      <c r="X14" s="21">
        <f t="shared" si="5"/>
        <v>0</v>
      </c>
      <c r="Y14" s="28">
        <f t="shared" si="6"/>
        <v>513</v>
      </c>
      <c r="Z14" s="21">
        <f t="shared" si="7"/>
        <v>29.75</v>
      </c>
      <c r="AA14" s="20">
        <f t="shared" si="8"/>
        <v>3078</v>
      </c>
    </row>
    <row r="15" spans="1:27" ht="13.5">
      <c r="A15" s="24">
        <v>13</v>
      </c>
      <c r="B15" s="22" t="str">
        <f>'Меню 4 кв 2022'!P18</f>
        <v>Капуста белокачанная (1 сорт)</v>
      </c>
      <c r="C15" s="23" t="str">
        <f>'Меню 4 кв 2022'!Q18</f>
        <v>кг</v>
      </c>
      <c r="D15" s="106">
        <f>'Меню 4 кв 2022'!R18</f>
        <v>51</v>
      </c>
      <c r="E15" s="232"/>
      <c r="F15" s="21">
        <f t="shared" si="0"/>
        <v>0</v>
      </c>
      <c r="G15" s="232"/>
      <c r="H15" s="21">
        <f t="shared" si="9"/>
        <v>0</v>
      </c>
      <c r="I15" s="232"/>
      <c r="J15" s="21">
        <f t="shared" si="10"/>
        <v>0</v>
      </c>
      <c r="K15" s="232"/>
      <c r="L15" s="21">
        <f t="shared" si="11"/>
        <v>0</v>
      </c>
      <c r="M15" s="235"/>
      <c r="N15" s="21">
        <f t="shared" si="12"/>
        <v>0</v>
      </c>
      <c r="O15" s="232"/>
      <c r="P15" s="21">
        <f t="shared" si="1"/>
        <v>0</v>
      </c>
      <c r="Q15" s="232"/>
      <c r="R15" s="21">
        <f t="shared" si="2"/>
        <v>0</v>
      </c>
      <c r="S15" s="232"/>
      <c r="T15" s="21">
        <f t="shared" si="3"/>
        <v>0</v>
      </c>
      <c r="U15" s="232"/>
      <c r="V15" s="21">
        <f t="shared" si="4"/>
        <v>0</v>
      </c>
      <c r="W15" s="232"/>
      <c r="X15" s="21">
        <f t="shared" si="5"/>
        <v>0</v>
      </c>
      <c r="Y15" s="28">
        <f t="shared" si="6"/>
        <v>0</v>
      </c>
      <c r="Z15" s="21">
        <f t="shared" si="7"/>
        <v>0</v>
      </c>
      <c r="AA15" s="20">
        <f t="shared" si="8"/>
        <v>0</v>
      </c>
    </row>
    <row r="16" spans="1:27" ht="13.5">
      <c r="A16" s="24">
        <v>14</v>
      </c>
      <c r="B16" s="22" t="str">
        <f>'Меню 4 кв 2022'!P19</f>
        <v>Лук репчатый (1 сорт)</v>
      </c>
      <c r="C16" s="23" t="str">
        <f>'Меню 4 кв 2022'!Q19</f>
        <v>кг</v>
      </c>
      <c r="D16" s="106">
        <f>'Меню 4 кв 2022'!R19</f>
        <v>49</v>
      </c>
      <c r="E16" s="232"/>
      <c r="F16" s="21">
        <f t="shared" si="0"/>
        <v>0</v>
      </c>
      <c r="G16" s="232"/>
      <c r="H16" s="21">
        <f t="shared" si="9"/>
        <v>0</v>
      </c>
      <c r="I16" s="232"/>
      <c r="J16" s="21">
        <f t="shared" si="10"/>
        <v>0</v>
      </c>
      <c r="K16" s="232">
        <v>4</v>
      </c>
      <c r="L16" s="21">
        <f t="shared" si="11"/>
        <v>0.2</v>
      </c>
      <c r="M16" s="235"/>
      <c r="N16" s="21">
        <f t="shared" si="12"/>
        <v>0</v>
      </c>
      <c r="O16" s="232"/>
      <c r="P16" s="21">
        <f t="shared" si="1"/>
        <v>0</v>
      </c>
      <c r="Q16" s="232">
        <v>13</v>
      </c>
      <c r="R16" s="21">
        <f t="shared" si="2"/>
        <v>0.64</v>
      </c>
      <c r="S16" s="232">
        <v>13</v>
      </c>
      <c r="T16" s="21">
        <f t="shared" si="3"/>
        <v>0.64</v>
      </c>
      <c r="U16" s="232">
        <v>10</v>
      </c>
      <c r="V16" s="21">
        <f t="shared" si="4"/>
        <v>0.49</v>
      </c>
      <c r="W16" s="232">
        <f>12+4</f>
        <v>16</v>
      </c>
      <c r="X16" s="21">
        <v>0.79</v>
      </c>
      <c r="Y16" s="28">
        <f t="shared" si="6"/>
        <v>56</v>
      </c>
      <c r="Z16" s="21">
        <f t="shared" si="7"/>
        <v>2.74</v>
      </c>
      <c r="AA16" s="20">
        <f t="shared" si="8"/>
        <v>336</v>
      </c>
    </row>
    <row r="17" spans="1:27" ht="13.5">
      <c r="A17" s="24">
        <v>15</v>
      </c>
      <c r="B17" s="22" t="str">
        <f>'Меню 4 кв 2022'!P20</f>
        <v>Морковь (1 сорт)</v>
      </c>
      <c r="C17" s="23" t="str">
        <f>'Меню 4 кв 2022'!Q20</f>
        <v>кг</v>
      </c>
      <c r="D17" s="106">
        <f>'Меню 4 кв 2022'!R20</f>
        <v>67</v>
      </c>
      <c r="E17" s="232"/>
      <c r="F17" s="21">
        <f t="shared" si="0"/>
        <v>0</v>
      </c>
      <c r="G17" s="232"/>
      <c r="H17" s="21">
        <f t="shared" si="9"/>
        <v>0</v>
      </c>
      <c r="I17" s="232"/>
      <c r="J17" s="21">
        <f t="shared" si="10"/>
        <v>0</v>
      </c>
      <c r="K17" s="232">
        <v>5</v>
      </c>
      <c r="L17" s="21">
        <f t="shared" si="11"/>
        <v>0.34</v>
      </c>
      <c r="M17" s="235"/>
      <c r="N17" s="21">
        <f t="shared" si="12"/>
        <v>0</v>
      </c>
      <c r="O17" s="232"/>
      <c r="P17" s="21">
        <f t="shared" si="1"/>
        <v>0</v>
      </c>
      <c r="Q17" s="232">
        <v>14</v>
      </c>
      <c r="R17" s="21">
        <f t="shared" si="2"/>
        <v>0.94</v>
      </c>
      <c r="S17" s="232"/>
      <c r="T17" s="21">
        <f t="shared" si="3"/>
        <v>0</v>
      </c>
      <c r="U17" s="232">
        <v>19</v>
      </c>
      <c r="V17" s="21">
        <f t="shared" si="4"/>
        <v>1.27</v>
      </c>
      <c r="W17" s="232">
        <v>6</v>
      </c>
      <c r="X17" s="21">
        <f t="shared" si="5"/>
        <v>0.4</v>
      </c>
      <c r="Y17" s="28">
        <f t="shared" si="6"/>
        <v>44</v>
      </c>
      <c r="Z17" s="21">
        <f t="shared" si="7"/>
        <v>2.95</v>
      </c>
      <c r="AA17" s="20">
        <f t="shared" si="8"/>
        <v>264</v>
      </c>
    </row>
    <row r="18" spans="1:27" ht="13.5">
      <c r="A18" s="24">
        <v>16</v>
      </c>
      <c r="B18" s="22" t="str">
        <f>'Меню 4 кв 2022'!P21</f>
        <v>Свекла (1 сорт)</v>
      </c>
      <c r="C18" s="23" t="str">
        <f>'Меню 4 кв 2022'!Q21</f>
        <v>кг</v>
      </c>
      <c r="D18" s="106">
        <f>'Меню 4 кв 2022'!R21</f>
        <v>57</v>
      </c>
      <c r="E18" s="232"/>
      <c r="F18" s="21">
        <f t="shared" si="0"/>
        <v>0</v>
      </c>
      <c r="G18" s="232"/>
      <c r="H18" s="21">
        <f t="shared" si="9"/>
        <v>0</v>
      </c>
      <c r="I18" s="232"/>
      <c r="J18" s="21">
        <f t="shared" si="10"/>
        <v>0</v>
      </c>
      <c r="K18" s="232"/>
      <c r="L18" s="21">
        <f t="shared" si="11"/>
        <v>0</v>
      </c>
      <c r="M18" s="235"/>
      <c r="N18" s="21">
        <f t="shared" si="12"/>
        <v>0</v>
      </c>
      <c r="O18" s="232"/>
      <c r="P18" s="21">
        <f t="shared" si="1"/>
        <v>0</v>
      </c>
      <c r="Q18" s="232"/>
      <c r="R18" s="21">
        <f t="shared" si="2"/>
        <v>0</v>
      </c>
      <c r="S18" s="232"/>
      <c r="T18" s="21">
        <f t="shared" si="3"/>
        <v>0</v>
      </c>
      <c r="U18" s="232"/>
      <c r="V18" s="21">
        <f t="shared" si="4"/>
        <v>0</v>
      </c>
      <c r="W18" s="232"/>
      <c r="X18" s="21">
        <f t="shared" si="5"/>
        <v>0</v>
      </c>
      <c r="Y18" s="28">
        <f t="shared" si="6"/>
        <v>0</v>
      </c>
      <c r="Z18" s="21">
        <f t="shared" si="7"/>
        <v>0</v>
      </c>
      <c r="AA18" s="20">
        <f t="shared" si="8"/>
        <v>0</v>
      </c>
    </row>
    <row r="19" spans="1:27" ht="27">
      <c r="A19" s="24">
        <v>17</v>
      </c>
      <c r="B19" s="22" t="str">
        <f>'Меню 4 кв 2022'!P22</f>
        <v>Огурцы консервированные без уксуса (1с)</v>
      </c>
      <c r="C19" s="23" t="str">
        <f>'Меню 4 кв 2022'!Q22</f>
        <v>кг</v>
      </c>
      <c r="D19" s="106">
        <f>'Меню 4 кв 2022'!R22</f>
        <v>68</v>
      </c>
      <c r="E19" s="232"/>
      <c r="F19" s="21">
        <f t="shared" si="0"/>
        <v>0</v>
      </c>
      <c r="G19" s="232"/>
      <c r="H19" s="21">
        <f t="shared" si="9"/>
        <v>0</v>
      </c>
      <c r="I19" s="232"/>
      <c r="J19" s="21">
        <f t="shared" si="10"/>
        <v>0</v>
      </c>
      <c r="K19" s="232"/>
      <c r="L19" s="21">
        <f t="shared" si="11"/>
        <v>0</v>
      </c>
      <c r="M19" s="235"/>
      <c r="N19" s="21">
        <f t="shared" si="12"/>
        <v>0</v>
      </c>
      <c r="O19" s="232"/>
      <c r="P19" s="21">
        <f t="shared" si="1"/>
        <v>0</v>
      </c>
      <c r="Q19" s="232"/>
      <c r="R19" s="21">
        <f t="shared" si="2"/>
        <v>0</v>
      </c>
      <c r="S19" s="232">
        <v>60</v>
      </c>
      <c r="T19" s="21">
        <f t="shared" si="3"/>
        <v>4.08</v>
      </c>
      <c r="U19" s="232"/>
      <c r="V19" s="21">
        <f t="shared" si="4"/>
        <v>0</v>
      </c>
      <c r="W19" s="232"/>
      <c r="X19" s="21">
        <f t="shared" si="5"/>
        <v>0</v>
      </c>
      <c r="Y19" s="28">
        <f t="shared" si="6"/>
        <v>60</v>
      </c>
      <c r="Z19" s="21">
        <f t="shared" si="7"/>
        <v>4.08</v>
      </c>
      <c r="AA19" s="20">
        <f t="shared" si="8"/>
        <v>360</v>
      </c>
    </row>
    <row r="20" spans="1:27" ht="13.5">
      <c r="A20" s="24">
        <v>18</v>
      </c>
      <c r="B20" s="22" t="str">
        <f>'Меню 4 кв 2022'!P23</f>
        <v>Икра кабачковая для дет. питания</v>
      </c>
      <c r="C20" s="23" t="str">
        <f>'Меню 4 кв 2022'!Q23</f>
        <v>кг</v>
      </c>
      <c r="D20" s="106">
        <f>'Меню 4 кв 2022'!R23</f>
        <v>111</v>
      </c>
      <c r="E20" s="232">
        <v>25</v>
      </c>
      <c r="F20" s="21">
        <f t="shared" si="0"/>
        <v>2.78</v>
      </c>
      <c r="G20" s="232"/>
      <c r="H20" s="21">
        <f t="shared" si="9"/>
        <v>0</v>
      </c>
      <c r="I20" s="232"/>
      <c r="J20" s="21">
        <f t="shared" si="10"/>
        <v>0</v>
      </c>
      <c r="K20" s="232"/>
      <c r="L20" s="21">
        <f t="shared" si="11"/>
        <v>0</v>
      </c>
      <c r="M20" s="235">
        <v>100</v>
      </c>
      <c r="N20" s="21">
        <f t="shared" si="12"/>
        <v>11.1</v>
      </c>
      <c r="O20" s="232"/>
      <c r="P20" s="21">
        <f t="shared" si="1"/>
        <v>0</v>
      </c>
      <c r="Q20" s="232"/>
      <c r="R20" s="21">
        <f t="shared" si="2"/>
        <v>0</v>
      </c>
      <c r="S20" s="232"/>
      <c r="T20" s="21">
        <f t="shared" si="3"/>
        <v>0</v>
      </c>
      <c r="U20" s="232"/>
      <c r="V20" s="21">
        <f t="shared" si="4"/>
        <v>0</v>
      </c>
      <c r="W20" s="232"/>
      <c r="X20" s="21">
        <f t="shared" si="5"/>
        <v>0</v>
      </c>
      <c r="Y20" s="28">
        <f t="shared" si="6"/>
        <v>125</v>
      </c>
      <c r="Z20" s="21">
        <f t="shared" si="7"/>
        <v>13.88</v>
      </c>
      <c r="AA20" s="20">
        <f t="shared" si="8"/>
        <v>750</v>
      </c>
    </row>
    <row r="21" spans="1:27" ht="13.5">
      <c r="A21" s="24">
        <v>19</v>
      </c>
      <c r="B21" s="22" t="str">
        <f>'Меню 4 кв 2022'!P24</f>
        <v>Горошек зеленый (сорт салатный)</v>
      </c>
      <c r="C21" s="23" t="str">
        <f>'Меню 4 кв 2022'!Q24</f>
        <v>кг</v>
      </c>
      <c r="D21" s="106">
        <f>'Меню 4 кв 2022'!R24</f>
        <v>127</v>
      </c>
      <c r="E21" s="232"/>
      <c r="F21" s="21">
        <f t="shared" si="0"/>
        <v>0</v>
      </c>
      <c r="G21" s="232"/>
      <c r="H21" s="21">
        <f t="shared" si="9"/>
        <v>0</v>
      </c>
      <c r="I21" s="232"/>
      <c r="J21" s="21">
        <f t="shared" si="10"/>
        <v>0</v>
      </c>
      <c r="K21" s="232"/>
      <c r="L21" s="21">
        <f t="shared" si="11"/>
        <v>0</v>
      </c>
      <c r="M21" s="235"/>
      <c r="N21" s="21">
        <f t="shared" si="12"/>
        <v>0</v>
      </c>
      <c r="O21" s="232"/>
      <c r="P21" s="21">
        <f t="shared" si="1"/>
        <v>0</v>
      </c>
      <c r="Q21" s="232"/>
      <c r="R21" s="21">
        <f t="shared" si="2"/>
        <v>0</v>
      </c>
      <c r="S21" s="232"/>
      <c r="T21" s="21">
        <f t="shared" si="3"/>
        <v>0</v>
      </c>
      <c r="U21" s="232"/>
      <c r="V21" s="21">
        <f t="shared" si="4"/>
        <v>0</v>
      </c>
      <c r="W21" s="232"/>
      <c r="X21" s="21">
        <f t="shared" si="5"/>
        <v>0</v>
      </c>
      <c r="Y21" s="28">
        <f t="shared" si="6"/>
        <v>0</v>
      </c>
      <c r="Z21" s="21">
        <f t="shared" si="7"/>
        <v>0</v>
      </c>
      <c r="AA21" s="20">
        <f t="shared" si="8"/>
        <v>0</v>
      </c>
    </row>
    <row r="22" spans="1:27" ht="27">
      <c r="A22" s="24">
        <v>20</v>
      </c>
      <c r="B22" s="22" t="str">
        <f>'Меню 4 кв 2022'!P25</f>
        <v>Томатная паста с содержанием с/в (25-30%)</v>
      </c>
      <c r="C22" s="23" t="str">
        <f>'Меню 4 кв 2022'!Q25</f>
        <v>кг</v>
      </c>
      <c r="D22" s="106">
        <f>'Меню 4 кв 2022'!R25</f>
        <v>124</v>
      </c>
      <c r="E22" s="232"/>
      <c r="F22" s="21">
        <f t="shared" si="0"/>
        <v>0</v>
      </c>
      <c r="G22" s="232"/>
      <c r="H22" s="21">
        <f t="shared" si="9"/>
        <v>0</v>
      </c>
      <c r="I22" s="232">
        <v>5</v>
      </c>
      <c r="J22" s="21">
        <f t="shared" si="10"/>
        <v>0.62</v>
      </c>
      <c r="K22" s="232">
        <v>2</v>
      </c>
      <c r="L22" s="21">
        <f t="shared" si="11"/>
        <v>0.25</v>
      </c>
      <c r="M22" s="235"/>
      <c r="N22" s="21">
        <f t="shared" si="12"/>
        <v>0</v>
      </c>
      <c r="O22" s="232"/>
      <c r="P22" s="21">
        <f t="shared" si="1"/>
        <v>0</v>
      </c>
      <c r="Q22" s="232">
        <v>2</v>
      </c>
      <c r="R22" s="21">
        <f t="shared" si="2"/>
        <v>0.25</v>
      </c>
      <c r="S22" s="232">
        <v>3</v>
      </c>
      <c r="T22" s="21">
        <f t="shared" si="3"/>
        <v>0.37</v>
      </c>
      <c r="U22" s="232">
        <v>4</v>
      </c>
      <c r="V22" s="21">
        <f t="shared" si="4"/>
        <v>0.5</v>
      </c>
      <c r="W22" s="232">
        <v>2</v>
      </c>
      <c r="X22" s="21">
        <f t="shared" si="5"/>
        <v>0.25</v>
      </c>
      <c r="Y22" s="28">
        <f t="shared" si="6"/>
        <v>18</v>
      </c>
      <c r="Z22" s="21">
        <f t="shared" si="7"/>
        <v>2.23</v>
      </c>
      <c r="AA22" s="20">
        <f t="shared" si="8"/>
        <v>108</v>
      </c>
    </row>
    <row r="23" spans="1:27" ht="13.5">
      <c r="A23" s="24">
        <v>21</v>
      </c>
      <c r="B23" s="22" t="str">
        <f>'Меню 4 кв 2022'!P26</f>
        <v>Яблоки свежие (1 сорт)</v>
      </c>
      <c r="C23" s="23" t="str">
        <f>'Меню 4 кв 2022'!Q26</f>
        <v>кг</v>
      </c>
      <c r="D23" s="106">
        <f>'Меню 4 кв 2022'!R26</f>
        <v>116</v>
      </c>
      <c r="E23" s="232">
        <v>100</v>
      </c>
      <c r="F23" s="21">
        <f t="shared" si="0"/>
        <v>11.6</v>
      </c>
      <c r="G23" s="232"/>
      <c r="H23" s="21">
        <f t="shared" si="9"/>
        <v>0</v>
      </c>
      <c r="I23" s="232">
        <v>100</v>
      </c>
      <c r="J23" s="21">
        <f t="shared" si="10"/>
        <v>11.6</v>
      </c>
      <c r="K23" s="232">
        <v>100</v>
      </c>
      <c r="L23" s="21">
        <f t="shared" si="11"/>
        <v>11.6</v>
      </c>
      <c r="M23" s="235">
        <v>100</v>
      </c>
      <c r="N23" s="21">
        <f t="shared" si="12"/>
        <v>11.6</v>
      </c>
      <c r="O23" s="232">
        <v>47</v>
      </c>
      <c r="P23" s="21">
        <f t="shared" si="1"/>
        <v>5.45</v>
      </c>
      <c r="Q23" s="232"/>
      <c r="R23" s="21">
        <f t="shared" si="2"/>
        <v>0</v>
      </c>
      <c r="S23" s="232"/>
      <c r="T23" s="21">
        <f t="shared" si="3"/>
        <v>0</v>
      </c>
      <c r="U23" s="232"/>
      <c r="V23" s="21">
        <f t="shared" si="4"/>
        <v>0</v>
      </c>
      <c r="W23" s="232">
        <v>80</v>
      </c>
      <c r="X23" s="21">
        <f t="shared" si="5"/>
        <v>9.28</v>
      </c>
      <c r="Y23" s="28">
        <f t="shared" si="6"/>
        <v>527</v>
      </c>
      <c r="Z23" s="21">
        <f t="shared" si="7"/>
        <v>61.13</v>
      </c>
      <c r="AA23" s="20">
        <f t="shared" si="8"/>
        <v>3162</v>
      </c>
    </row>
    <row r="24" spans="1:27" ht="13.5">
      <c r="A24" s="24">
        <v>22</v>
      </c>
      <c r="B24" s="22" t="str">
        <f>'Меню 4 кв 2022'!P29</f>
        <v>Бананы свежие (1 сорт)</v>
      </c>
      <c r="C24" s="23" t="str">
        <f>'Меню 4 кв 2022'!Q29</f>
        <v>кг</v>
      </c>
      <c r="D24" s="106">
        <f>'Меню 4 кв 2022'!R29</f>
        <v>153</v>
      </c>
      <c r="E24" s="232"/>
      <c r="F24" s="21">
        <f t="shared" si="0"/>
        <v>0</v>
      </c>
      <c r="G24" s="232">
        <v>100</v>
      </c>
      <c r="H24" s="21">
        <f t="shared" si="9"/>
        <v>15.3</v>
      </c>
      <c r="I24" s="232"/>
      <c r="J24" s="21">
        <f t="shared" si="10"/>
        <v>0</v>
      </c>
      <c r="K24" s="232"/>
      <c r="L24" s="21">
        <f t="shared" si="11"/>
        <v>0</v>
      </c>
      <c r="M24" s="235"/>
      <c r="N24" s="21">
        <f t="shared" si="12"/>
        <v>0</v>
      </c>
      <c r="O24" s="232">
        <v>70</v>
      </c>
      <c r="P24" s="21">
        <f t="shared" si="1"/>
        <v>10.71</v>
      </c>
      <c r="Q24" s="232">
        <v>100</v>
      </c>
      <c r="R24" s="21">
        <f t="shared" si="2"/>
        <v>15.3</v>
      </c>
      <c r="S24" s="232">
        <v>100</v>
      </c>
      <c r="T24" s="21">
        <f t="shared" si="3"/>
        <v>15.3</v>
      </c>
      <c r="U24" s="232">
        <v>70</v>
      </c>
      <c r="V24" s="21">
        <f t="shared" si="4"/>
        <v>10.71</v>
      </c>
      <c r="W24" s="232"/>
      <c r="X24" s="21">
        <f t="shared" si="5"/>
        <v>0</v>
      </c>
      <c r="Y24" s="28">
        <f t="shared" si="6"/>
        <v>440</v>
      </c>
      <c r="Z24" s="21">
        <f t="shared" si="7"/>
        <v>67.32</v>
      </c>
      <c r="AA24" s="20">
        <f t="shared" si="8"/>
        <v>2640</v>
      </c>
    </row>
    <row r="25" spans="1:27" ht="13.5">
      <c r="A25" s="24">
        <v>23</v>
      </c>
      <c r="B25" s="22" t="str">
        <f>'Меню 4 кв 2022'!P30</f>
        <v>Сухофрукты ассорти</v>
      </c>
      <c r="C25" s="23" t="str">
        <f>'Меню 4 кв 2022'!Q30</f>
        <v>кг</v>
      </c>
      <c r="D25" s="106">
        <f>'Меню 4 кв 2022'!R30</f>
        <v>149</v>
      </c>
      <c r="E25" s="232"/>
      <c r="F25" s="21">
        <f t="shared" si="0"/>
        <v>0</v>
      </c>
      <c r="G25" s="232"/>
      <c r="H25" s="21">
        <f t="shared" si="9"/>
        <v>0</v>
      </c>
      <c r="I25" s="232"/>
      <c r="J25" s="21">
        <f t="shared" si="10"/>
        <v>0</v>
      </c>
      <c r="K25" s="232"/>
      <c r="L25" s="21">
        <f t="shared" si="11"/>
        <v>0</v>
      </c>
      <c r="M25" s="235"/>
      <c r="N25" s="21">
        <f t="shared" si="12"/>
        <v>0</v>
      </c>
      <c r="O25" s="232"/>
      <c r="P25" s="21">
        <f t="shared" si="1"/>
        <v>0</v>
      </c>
      <c r="Q25" s="232"/>
      <c r="R25" s="21">
        <f t="shared" si="2"/>
        <v>0</v>
      </c>
      <c r="S25" s="232"/>
      <c r="T25" s="21">
        <f t="shared" si="3"/>
        <v>0</v>
      </c>
      <c r="U25" s="232"/>
      <c r="V25" s="21">
        <f t="shared" si="4"/>
        <v>0</v>
      </c>
      <c r="W25" s="232"/>
      <c r="X25" s="21">
        <f t="shared" si="5"/>
        <v>0</v>
      </c>
      <c r="Y25" s="28">
        <f t="shared" si="6"/>
        <v>0</v>
      </c>
      <c r="Z25" s="21">
        <f t="shared" si="7"/>
        <v>0</v>
      </c>
      <c r="AA25" s="20">
        <f t="shared" si="8"/>
        <v>0</v>
      </c>
    </row>
    <row r="26" spans="1:27" ht="13.5">
      <c r="A26" s="24">
        <v>24</v>
      </c>
      <c r="B26" s="22" t="str">
        <f>'Меню 4 кв 2022'!P31</f>
        <v>Изюм</v>
      </c>
      <c r="C26" s="23" t="str">
        <f>'Меню 4 кв 2022'!Q31</f>
        <v>кг</v>
      </c>
      <c r="D26" s="106">
        <f>'Меню 4 кв 2022'!R31</f>
        <v>267</v>
      </c>
      <c r="E26" s="232"/>
      <c r="F26" s="21">
        <f t="shared" si="0"/>
        <v>0</v>
      </c>
      <c r="G26" s="232"/>
      <c r="H26" s="21">
        <f t="shared" si="9"/>
        <v>0</v>
      </c>
      <c r="I26" s="232"/>
      <c r="J26" s="21">
        <f t="shared" si="10"/>
        <v>0</v>
      </c>
      <c r="K26" s="232"/>
      <c r="L26" s="21">
        <f t="shared" si="11"/>
        <v>0</v>
      </c>
      <c r="M26" s="235"/>
      <c r="N26" s="21">
        <f t="shared" si="12"/>
        <v>0</v>
      </c>
      <c r="O26" s="232"/>
      <c r="P26" s="21">
        <f t="shared" si="1"/>
        <v>0</v>
      </c>
      <c r="Q26" s="232"/>
      <c r="R26" s="21">
        <f t="shared" si="2"/>
        <v>0</v>
      </c>
      <c r="S26" s="232"/>
      <c r="T26" s="21">
        <f t="shared" si="3"/>
        <v>0</v>
      </c>
      <c r="U26" s="232"/>
      <c r="V26" s="21">
        <f t="shared" si="4"/>
        <v>0</v>
      </c>
      <c r="W26" s="232"/>
      <c r="X26" s="21">
        <f t="shared" si="5"/>
        <v>0</v>
      </c>
      <c r="Y26" s="28">
        <f t="shared" si="6"/>
        <v>0</v>
      </c>
      <c r="Z26" s="21">
        <f t="shared" si="7"/>
        <v>0</v>
      </c>
      <c r="AA26" s="20">
        <f t="shared" si="8"/>
        <v>0</v>
      </c>
    </row>
    <row r="27" spans="1:27" ht="13.5">
      <c r="A27" s="24">
        <v>25</v>
      </c>
      <c r="B27" s="22" t="str">
        <f>'Меню 4 кв 2022'!P32</f>
        <v>Повидло фруктовое (1 сорт)</v>
      </c>
      <c r="C27" s="23" t="str">
        <f>'Меню 4 кв 2022'!Q32</f>
        <v>кг</v>
      </c>
      <c r="D27" s="106">
        <f>'Меню 4 кв 2022'!R32</f>
        <v>109</v>
      </c>
      <c r="E27" s="232"/>
      <c r="F27" s="21">
        <f t="shared" si="0"/>
        <v>0</v>
      </c>
      <c r="G27" s="232"/>
      <c r="H27" s="21">
        <f t="shared" si="9"/>
        <v>0</v>
      </c>
      <c r="I27" s="232"/>
      <c r="J27" s="21">
        <f t="shared" si="10"/>
        <v>0</v>
      </c>
      <c r="K27" s="232"/>
      <c r="L27" s="21">
        <f t="shared" si="11"/>
        <v>0</v>
      </c>
      <c r="M27" s="235"/>
      <c r="N27" s="21">
        <f t="shared" si="12"/>
        <v>0</v>
      </c>
      <c r="O27" s="232"/>
      <c r="P27" s="21">
        <f t="shared" si="1"/>
        <v>0</v>
      </c>
      <c r="Q27" s="232"/>
      <c r="R27" s="21">
        <f t="shared" si="2"/>
        <v>0</v>
      </c>
      <c r="S27" s="232"/>
      <c r="T27" s="21">
        <f t="shared" si="3"/>
        <v>0</v>
      </c>
      <c r="U27" s="232"/>
      <c r="V27" s="21">
        <f t="shared" si="4"/>
        <v>0</v>
      </c>
      <c r="W27" s="232"/>
      <c r="X27" s="21">
        <f t="shared" si="5"/>
        <v>0</v>
      </c>
      <c r="Y27" s="28">
        <f t="shared" si="6"/>
        <v>0</v>
      </c>
      <c r="Z27" s="21">
        <f t="shared" si="7"/>
        <v>0</v>
      </c>
      <c r="AA27" s="20">
        <f t="shared" si="8"/>
        <v>0</v>
      </c>
    </row>
    <row r="28" spans="1:27" ht="13.5">
      <c r="A28" s="24">
        <v>26</v>
      </c>
      <c r="B28" s="22" t="str">
        <f>'Меню 4 кв 2022'!P33</f>
        <v>Сок фруктовый (1 литр)</v>
      </c>
      <c r="C28" s="23" t="str">
        <f>'Меню 4 кв 2022'!Q33</f>
        <v>л</v>
      </c>
      <c r="D28" s="106">
        <f>'Меню 4 кв 2022'!R33</f>
        <v>62</v>
      </c>
      <c r="E28" s="232"/>
      <c r="F28" s="21">
        <f t="shared" si="0"/>
        <v>0</v>
      </c>
      <c r="G28" s="232"/>
      <c r="H28" s="21">
        <f t="shared" si="9"/>
        <v>0</v>
      </c>
      <c r="I28" s="232"/>
      <c r="J28" s="21">
        <f t="shared" si="10"/>
        <v>0</v>
      </c>
      <c r="K28" s="232"/>
      <c r="L28" s="21">
        <f t="shared" si="11"/>
        <v>0</v>
      </c>
      <c r="M28" s="235"/>
      <c r="N28" s="21">
        <f t="shared" si="12"/>
        <v>0</v>
      </c>
      <c r="O28" s="232"/>
      <c r="P28" s="21">
        <f t="shared" si="1"/>
        <v>0</v>
      </c>
      <c r="Q28" s="232"/>
      <c r="R28" s="21">
        <f t="shared" si="2"/>
        <v>0</v>
      </c>
      <c r="S28" s="232"/>
      <c r="T28" s="21">
        <f t="shared" si="3"/>
        <v>0</v>
      </c>
      <c r="U28" s="232"/>
      <c r="V28" s="21">
        <f t="shared" si="4"/>
        <v>0</v>
      </c>
      <c r="W28" s="232"/>
      <c r="X28" s="21">
        <f t="shared" si="5"/>
        <v>0</v>
      </c>
      <c r="Y28" s="28">
        <f t="shared" si="6"/>
        <v>0</v>
      </c>
      <c r="Z28" s="21">
        <f t="shared" si="7"/>
        <v>0</v>
      </c>
      <c r="AA28" s="20">
        <f t="shared" si="8"/>
        <v>0</v>
      </c>
    </row>
    <row r="29" spans="1:27" ht="27">
      <c r="A29" s="24">
        <v>27</v>
      </c>
      <c r="B29" s="22" t="str">
        <f>'Меню 4 кв 2022'!P34</f>
        <v>Масло растительное, рафинированное</v>
      </c>
      <c r="C29" s="23" t="str">
        <f>'Меню 4 кв 2022'!Q34</f>
        <v>кг</v>
      </c>
      <c r="D29" s="106">
        <f>'Меню 4 кв 2022'!R34</f>
        <v>147</v>
      </c>
      <c r="E29" s="233"/>
      <c r="F29" s="101">
        <f>D29*E29/1000</f>
        <v>0</v>
      </c>
      <c r="G29" s="232">
        <v>7</v>
      </c>
      <c r="H29" s="21">
        <v>1.04</v>
      </c>
      <c r="I29" s="232"/>
      <c r="J29" s="21">
        <f t="shared" si="10"/>
        <v>0</v>
      </c>
      <c r="K29" s="232">
        <v>9</v>
      </c>
      <c r="L29" s="21">
        <f t="shared" si="11"/>
        <v>1.32</v>
      </c>
      <c r="M29" s="235">
        <v>4</v>
      </c>
      <c r="N29" s="21">
        <f t="shared" si="12"/>
        <v>0.59</v>
      </c>
      <c r="O29" s="232"/>
      <c r="P29" s="21">
        <f t="shared" si="1"/>
        <v>0</v>
      </c>
      <c r="Q29" s="232">
        <v>8</v>
      </c>
      <c r="R29" s="21">
        <f t="shared" si="2"/>
        <v>1.18</v>
      </c>
      <c r="S29" s="232">
        <v>5</v>
      </c>
      <c r="T29" s="21">
        <f t="shared" si="3"/>
        <v>0.74</v>
      </c>
      <c r="U29" s="232">
        <v>5</v>
      </c>
      <c r="V29" s="21">
        <f t="shared" si="4"/>
        <v>0.74</v>
      </c>
      <c r="W29" s="232">
        <v>4</v>
      </c>
      <c r="X29" s="21">
        <f t="shared" si="5"/>
        <v>0.59</v>
      </c>
      <c r="Y29" s="28">
        <f t="shared" si="6"/>
        <v>42</v>
      </c>
      <c r="Z29" s="21">
        <f t="shared" si="7"/>
        <v>6.17</v>
      </c>
      <c r="AA29" s="20">
        <f t="shared" si="8"/>
        <v>252</v>
      </c>
    </row>
    <row r="30" spans="1:27" ht="13.5">
      <c r="A30" s="24">
        <v>28</v>
      </c>
      <c r="B30" s="22" t="str">
        <f>'Меню 4 кв 2022'!P35</f>
        <v>Рыба с/м (1 сорт)</v>
      </c>
      <c r="C30" s="23" t="str">
        <f>'Меню 4 кв 2022'!Q35</f>
        <v>кг</v>
      </c>
      <c r="D30" s="106">
        <f>'Меню 4 кв 2022'!R35</f>
        <v>205</v>
      </c>
      <c r="E30" s="232"/>
      <c r="F30" s="21">
        <f t="shared" si="0"/>
        <v>0</v>
      </c>
      <c r="G30" s="232"/>
      <c r="H30" s="21">
        <f t="shared" si="9"/>
        <v>0</v>
      </c>
      <c r="I30" s="232"/>
      <c r="J30" s="21">
        <f t="shared" si="10"/>
        <v>0</v>
      </c>
      <c r="K30" s="232">
        <v>121</v>
      </c>
      <c r="L30" s="21">
        <f t="shared" si="11"/>
        <v>24.81</v>
      </c>
      <c r="M30" s="235"/>
      <c r="N30" s="21">
        <f t="shared" si="12"/>
        <v>0</v>
      </c>
      <c r="O30" s="232"/>
      <c r="P30" s="21">
        <f t="shared" si="1"/>
        <v>0</v>
      </c>
      <c r="Q30" s="232"/>
      <c r="R30" s="21">
        <f t="shared" si="2"/>
        <v>0</v>
      </c>
      <c r="S30" s="232"/>
      <c r="T30" s="21">
        <f t="shared" si="3"/>
        <v>0</v>
      </c>
      <c r="U30" s="232">
        <v>103</v>
      </c>
      <c r="V30" s="21">
        <f t="shared" si="4"/>
        <v>21.12</v>
      </c>
      <c r="W30" s="232"/>
      <c r="X30" s="21">
        <f t="shared" si="5"/>
        <v>0</v>
      </c>
      <c r="Y30" s="28">
        <f t="shared" si="6"/>
        <v>224</v>
      </c>
      <c r="Z30" s="21">
        <f t="shared" si="7"/>
        <v>45.92</v>
      </c>
      <c r="AA30" s="20">
        <f t="shared" si="8"/>
        <v>1344</v>
      </c>
    </row>
    <row r="31" spans="1:27" ht="13.5">
      <c r="A31" s="24">
        <v>29</v>
      </c>
      <c r="B31" s="22">
        <f>'Меню 4 кв 2022'!P36</f>
        <v>0</v>
      </c>
      <c r="C31" s="23">
        <f>'Меню 4 кв 2022'!Q36</f>
        <v>0</v>
      </c>
      <c r="D31" s="106">
        <f>'Меню 4 кв 2022'!R36</f>
        <v>0</v>
      </c>
      <c r="E31" s="232"/>
      <c r="F31" s="21">
        <f t="shared" si="0"/>
        <v>0</v>
      </c>
      <c r="G31" s="232"/>
      <c r="H31" s="21">
        <f t="shared" si="9"/>
        <v>0</v>
      </c>
      <c r="I31" s="232"/>
      <c r="J31" s="21">
        <f t="shared" si="10"/>
        <v>0</v>
      </c>
      <c r="K31" s="232"/>
      <c r="L31" s="21">
        <f t="shared" si="11"/>
        <v>0</v>
      </c>
      <c r="M31" s="235"/>
      <c r="N31" s="21">
        <f t="shared" si="12"/>
        <v>0</v>
      </c>
      <c r="O31" s="232"/>
      <c r="P31" s="21">
        <f t="shared" si="1"/>
        <v>0</v>
      </c>
      <c r="Q31" s="232"/>
      <c r="R31" s="21">
        <f t="shared" si="2"/>
        <v>0</v>
      </c>
      <c r="S31" s="232"/>
      <c r="T31" s="21">
        <f t="shared" si="3"/>
        <v>0</v>
      </c>
      <c r="U31" s="232"/>
      <c r="V31" s="21">
        <f t="shared" si="4"/>
        <v>0</v>
      </c>
      <c r="W31" s="232"/>
      <c r="X31" s="21">
        <f t="shared" si="5"/>
        <v>0</v>
      </c>
      <c r="Y31" s="28">
        <f t="shared" si="6"/>
        <v>0</v>
      </c>
      <c r="Z31" s="21">
        <f t="shared" si="7"/>
        <v>0</v>
      </c>
      <c r="AA31" s="20">
        <f t="shared" si="8"/>
        <v>0</v>
      </c>
    </row>
    <row r="32" spans="1:27" ht="27">
      <c r="A32" s="24">
        <v>30</v>
      </c>
      <c r="B32" s="22" t="str">
        <f>'Меню 4 кв 2022'!P37</f>
        <v>Мука пшеничная (высший сорт), в инд. уп.</v>
      </c>
      <c r="C32" s="23" t="str">
        <f>'Меню 4 кв 2022'!Q37</f>
        <v>кг</v>
      </c>
      <c r="D32" s="106">
        <f>'Меню 4 кв 2022'!R37</f>
        <v>48</v>
      </c>
      <c r="E32" s="232"/>
      <c r="F32" s="21">
        <f t="shared" si="0"/>
        <v>0</v>
      </c>
      <c r="G32" s="232">
        <v>72</v>
      </c>
      <c r="H32" s="21">
        <f t="shared" si="9"/>
        <v>3.46</v>
      </c>
      <c r="I32" s="232">
        <v>5</v>
      </c>
      <c r="J32" s="21">
        <f t="shared" si="10"/>
        <v>0.24</v>
      </c>
      <c r="K32" s="232">
        <f>7+2</f>
        <v>9</v>
      </c>
      <c r="L32" s="21">
        <f t="shared" si="11"/>
        <v>0.43</v>
      </c>
      <c r="M32" s="235">
        <v>45</v>
      </c>
      <c r="N32" s="21">
        <f t="shared" si="12"/>
        <v>2.16</v>
      </c>
      <c r="O32" s="232"/>
      <c r="P32" s="21">
        <f t="shared" si="1"/>
        <v>0</v>
      </c>
      <c r="Q32" s="232"/>
      <c r="R32" s="21">
        <f t="shared" si="2"/>
        <v>0</v>
      </c>
      <c r="S32" s="232"/>
      <c r="T32" s="21">
        <f t="shared" si="3"/>
        <v>0</v>
      </c>
      <c r="U32" s="232"/>
      <c r="V32" s="21">
        <f t="shared" si="4"/>
        <v>0</v>
      </c>
      <c r="W32" s="232">
        <v>2</v>
      </c>
      <c r="X32" s="21">
        <f t="shared" si="5"/>
        <v>0.1</v>
      </c>
      <c r="Y32" s="28">
        <f t="shared" si="6"/>
        <v>133</v>
      </c>
      <c r="Z32" s="21">
        <f t="shared" si="7"/>
        <v>6.38</v>
      </c>
      <c r="AA32" s="20">
        <f t="shared" si="8"/>
        <v>798</v>
      </c>
    </row>
    <row r="33" spans="1:27" ht="13.5">
      <c r="A33" s="24">
        <v>31</v>
      </c>
      <c r="B33" s="22" t="str">
        <f>'Меню 4 кв 2022'!P40</f>
        <v>Крупа гречневая, в инд. уп.</v>
      </c>
      <c r="C33" s="23" t="str">
        <f>'Меню 4 кв 2022'!Q40</f>
        <v>кг</v>
      </c>
      <c r="D33" s="106">
        <f>'Меню 4 кв 2022'!R40</f>
        <v>129</v>
      </c>
      <c r="E33" s="232"/>
      <c r="F33" s="21">
        <f t="shared" si="0"/>
        <v>0</v>
      </c>
      <c r="G33" s="232"/>
      <c r="H33" s="21">
        <f t="shared" si="9"/>
        <v>0</v>
      </c>
      <c r="I33" s="232">
        <v>47</v>
      </c>
      <c r="J33" s="21">
        <f t="shared" si="10"/>
        <v>6.06</v>
      </c>
      <c r="K33" s="232"/>
      <c r="L33" s="21">
        <f t="shared" si="11"/>
        <v>0</v>
      </c>
      <c r="M33" s="235"/>
      <c r="N33" s="21">
        <f t="shared" si="12"/>
        <v>0</v>
      </c>
      <c r="O33" s="232"/>
      <c r="P33" s="21">
        <f t="shared" si="1"/>
        <v>0</v>
      </c>
      <c r="Q33" s="232"/>
      <c r="R33" s="21">
        <f t="shared" si="2"/>
        <v>0</v>
      </c>
      <c r="S33" s="232"/>
      <c r="T33" s="21">
        <f t="shared" si="3"/>
        <v>0</v>
      </c>
      <c r="U33" s="232"/>
      <c r="V33" s="21">
        <f t="shared" si="4"/>
        <v>0</v>
      </c>
      <c r="W33" s="232"/>
      <c r="X33" s="21">
        <f t="shared" si="5"/>
        <v>0</v>
      </c>
      <c r="Y33" s="28">
        <f t="shared" si="6"/>
        <v>47</v>
      </c>
      <c r="Z33" s="21">
        <f t="shared" si="7"/>
        <v>6.06</v>
      </c>
      <c r="AA33" s="20">
        <f t="shared" si="8"/>
        <v>282</v>
      </c>
    </row>
    <row r="34" spans="1:27" ht="13.5">
      <c r="A34" s="24">
        <v>32</v>
      </c>
      <c r="B34" s="22" t="str">
        <f>'Меню 4 кв 2022'!P42</f>
        <v>Крупа манная (1 сорт), в инд. уп.</v>
      </c>
      <c r="C34" s="23" t="str">
        <f>'Меню 4 кв 2022'!Q42</f>
        <v>кг</v>
      </c>
      <c r="D34" s="106">
        <f>'Меню 4 кв 2022'!R42</f>
        <v>57</v>
      </c>
      <c r="E34" s="232"/>
      <c r="F34" s="21">
        <f t="shared" si="0"/>
        <v>0</v>
      </c>
      <c r="G34" s="232">
        <v>20</v>
      </c>
      <c r="H34" s="21">
        <f t="shared" si="9"/>
        <v>1.14</v>
      </c>
      <c r="I34" s="232"/>
      <c r="J34" s="21">
        <f t="shared" si="10"/>
        <v>0</v>
      </c>
      <c r="K34" s="232"/>
      <c r="L34" s="21">
        <f t="shared" si="11"/>
        <v>0</v>
      </c>
      <c r="M34" s="235"/>
      <c r="N34" s="21">
        <f t="shared" si="12"/>
        <v>0</v>
      </c>
      <c r="O34" s="232"/>
      <c r="P34" s="21">
        <f t="shared" si="1"/>
        <v>0</v>
      </c>
      <c r="Q34" s="232"/>
      <c r="R34" s="21">
        <f t="shared" si="2"/>
        <v>0</v>
      </c>
      <c r="S34" s="232"/>
      <c r="T34" s="21">
        <f t="shared" si="3"/>
        <v>0</v>
      </c>
      <c r="U34" s="232"/>
      <c r="V34" s="21">
        <f t="shared" si="4"/>
        <v>0</v>
      </c>
      <c r="W34" s="232"/>
      <c r="X34" s="21">
        <f t="shared" si="5"/>
        <v>0</v>
      </c>
      <c r="Y34" s="28">
        <f t="shared" si="6"/>
        <v>20</v>
      </c>
      <c r="Z34" s="21">
        <f t="shared" si="7"/>
        <v>1.14</v>
      </c>
      <c r="AA34" s="20">
        <f t="shared" si="8"/>
        <v>120</v>
      </c>
    </row>
    <row r="35" spans="1:27" ht="13.5">
      <c r="A35" s="24">
        <v>33</v>
      </c>
      <c r="B35" s="22" t="str">
        <f>'Меню 4 кв 2022'!P43</f>
        <v>Рис (1 сорт), в инд. уп.</v>
      </c>
      <c r="C35" s="23" t="str">
        <f>'Меню 4 кв 2022'!Q43</f>
        <v>кг</v>
      </c>
      <c r="D35" s="106">
        <f>'Меню 4 кв 2022'!R43</f>
        <v>100</v>
      </c>
      <c r="E35" s="232"/>
      <c r="F35" s="21">
        <f t="shared" si="0"/>
        <v>0</v>
      </c>
      <c r="G35" s="232"/>
      <c r="H35" s="21">
        <f t="shared" si="9"/>
        <v>0</v>
      </c>
      <c r="I35" s="232"/>
      <c r="J35" s="21">
        <f t="shared" si="10"/>
        <v>0</v>
      </c>
      <c r="K35" s="232"/>
      <c r="L35" s="21">
        <f t="shared" si="11"/>
        <v>0</v>
      </c>
      <c r="M35" s="235"/>
      <c r="N35" s="21">
        <f t="shared" si="12"/>
        <v>0</v>
      </c>
      <c r="O35" s="232"/>
      <c r="P35" s="21">
        <f t="shared" si="1"/>
        <v>0</v>
      </c>
      <c r="Q35" s="232">
        <v>44</v>
      </c>
      <c r="R35" s="21">
        <f t="shared" si="2"/>
        <v>4.4</v>
      </c>
      <c r="S35" s="232"/>
      <c r="T35" s="21">
        <f t="shared" si="3"/>
        <v>0</v>
      </c>
      <c r="U35" s="232"/>
      <c r="V35" s="21">
        <f t="shared" si="4"/>
        <v>0</v>
      </c>
      <c r="W35" s="232"/>
      <c r="X35" s="21">
        <f t="shared" si="5"/>
        <v>0</v>
      </c>
      <c r="Y35" s="28">
        <f t="shared" si="6"/>
        <v>44</v>
      </c>
      <c r="Z35" s="21">
        <f t="shared" si="7"/>
        <v>4.4</v>
      </c>
      <c r="AA35" s="20">
        <f t="shared" si="8"/>
        <v>264</v>
      </c>
    </row>
    <row r="36" spans="1:27" ht="13.5">
      <c r="A36" s="24">
        <v>34</v>
      </c>
      <c r="B36" s="22" t="str">
        <f>'Меню 4 кв 2022'!P44</f>
        <v>Крупа пшеничная (1 сорт), в инд. уп.</v>
      </c>
      <c r="C36" s="23" t="str">
        <f>'Меню 4 кв 2022'!Q44</f>
        <v>кг</v>
      </c>
      <c r="D36" s="106">
        <f>'Меню 4 кв 2022'!R44</f>
        <v>60</v>
      </c>
      <c r="E36" s="232"/>
      <c r="F36" s="21">
        <f t="shared" si="0"/>
        <v>0</v>
      </c>
      <c r="G36" s="232"/>
      <c r="H36" s="21">
        <f t="shared" si="9"/>
        <v>0</v>
      </c>
      <c r="I36" s="232"/>
      <c r="J36" s="21">
        <f t="shared" si="10"/>
        <v>0</v>
      </c>
      <c r="K36" s="232"/>
      <c r="L36" s="21">
        <f t="shared" si="11"/>
        <v>0</v>
      </c>
      <c r="M36" s="235"/>
      <c r="N36" s="21">
        <f t="shared" si="12"/>
        <v>0</v>
      </c>
      <c r="O36" s="232"/>
      <c r="P36" s="21">
        <f t="shared" si="1"/>
        <v>0</v>
      </c>
      <c r="Q36" s="232"/>
      <c r="R36" s="21">
        <f t="shared" si="2"/>
        <v>0</v>
      </c>
      <c r="S36" s="232"/>
      <c r="T36" s="21">
        <f t="shared" si="3"/>
        <v>0</v>
      </c>
      <c r="U36" s="232"/>
      <c r="V36" s="21">
        <f t="shared" si="4"/>
        <v>0</v>
      </c>
      <c r="W36" s="232"/>
      <c r="X36" s="21">
        <f t="shared" si="5"/>
        <v>0</v>
      </c>
      <c r="Y36" s="28">
        <f t="shared" si="6"/>
        <v>0</v>
      </c>
      <c r="Z36" s="21">
        <f aca="true" t="shared" si="13" ref="Z36:Z57">Y36*D36/1000</f>
        <v>0</v>
      </c>
      <c r="AA36" s="20">
        <f t="shared" si="8"/>
        <v>0</v>
      </c>
    </row>
    <row r="37" spans="1:27" ht="13.5">
      <c r="A37" s="24">
        <v>35</v>
      </c>
      <c r="B37" s="22" t="str">
        <f>'Меню 4 кв 2022'!P45</f>
        <v>Пшено (1 сорт), в инд. уп.</v>
      </c>
      <c r="C37" s="23" t="str">
        <f>'Меню 4 кв 2022'!Q45</f>
        <v>кг</v>
      </c>
      <c r="D37" s="106">
        <f>'Меню 4 кв 2022'!R45</f>
        <v>59</v>
      </c>
      <c r="E37" s="232"/>
      <c r="F37" s="21">
        <f t="shared" si="0"/>
        <v>0</v>
      </c>
      <c r="G37" s="232"/>
      <c r="H37" s="21">
        <f t="shared" si="9"/>
        <v>0</v>
      </c>
      <c r="I37" s="232"/>
      <c r="J37" s="21">
        <f t="shared" si="10"/>
        <v>0</v>
      </c>
      <c r="K37" s="232"/>
      <c r="L37" s="21">
        <f t="shared" si="11"/>
        <v>0</v>
      </c>
      <c r="M37" s="235"/>
      <c r="N37" s="21">
        <f t="shared" si="12"/>
        <v>0</v>
      </c>
      <c r="O37" s="232"/>
      <c r="P37" s="21">
        <f t="shared" si="1"/>
        <v>0</v>
      </c>
      <c r="Q37" s="232"/>
      <c r="R37" s="21">
        <f t="shared" si="2"/>
        <v>0</v>
      </c>
      <c r="S37" s="232"/>
      <c r="T37" s="21">
        <f t="shared" si="3"/>
        <v>0</v>
      </c>
      <c r="U37" s="232"/>
      <c r="V37" s="21">
        <f t="shared" si="4"/>
        <v>0</v>
      </c>
      <c r="W37" s="232"/>
      <c r="X37" s="21">
        <f t="shared" si="5"/>
        <v>0</v>
      </c>
      <c r="Y37" s="28">
        <f t="shared" si="6"/>
        <v>0</v>
      </c>
      <c r="Z37" s="21">
        <f t="shared" si="13"/>
        <v>0</v>
      </c>
      <c r="AA37" s="20">
        <f t="shared" si="8"/>
        <v>0</v>
      </c>
    </row>
    <row r="38" spans="1:27" ht="13.5">
      <c r="A38" s="24">
        <v>36</v>
      </c>
      <c r="B38" s="22" t="str">
        <f>'Меню 4 кв 2022'!P46</f>
        <v>Горох шлифованный, в инд. уп.</v>
      </c>
      <c r="C38" s="23" t="str">
        <f>'Меню 4 кв 2022'!Q46</f>
        <v>кг</v>
      </c>
      <c r="D38" s="106">
        <f>'Меню 4 кв 2022'!R46</f>
        <v>61</v>
      </c>
      <c r="E38" s="232"/>
      <c r="F38" s="21">
        <f t="shared" si="0"/>
        <v>0</v>
      </c>
      <c r="G38" s="232"/>
      <c r="H38" s="21">
        <f t="shared" si="9"/>
        <v>0</v>
      </c>
      <c r="I38" s="232"/>
      <c r="J38" s="21">
        <f t="shared" si="10"/>
        <v>0</v>
      </c>
      <c r="K38" s="232"/>
      <c r="L38" s="21">
        <f t="shared" si="11"/>
        <v>0</v>
      </c>
      <c r="M38" s="235"/>
      <c r="N38" s="21">
        <f t="shared" si="12"/>
        <v>0</v>
      </c>
      <c r="O38" s="232"/>
      <c r="P38" s="21">
        <f t="shared" si="1"/>
        <v>0</v>
      </c>
      <c r="Q38" s="232"/>
      <c r="R38" s="21">
        <f t="shared" si="2"/>
        <v>0</v>
      </c>
      <c r="S38" s="232"/>
      <c r="T38" s="21">
        <f t="shared" si="3"/>
        <v>0</v>
      </c>
      <c r="U38" s="232"/>
      <c r="V38" s="21">
        <f t="shared" si="4"/>
        <v>0</v>
      </c>
      <c r="W38" s="232"/>
      <c r="X38" s="21">
        <f t="shared" si="5"/>
        <v>0</v>
      </c>
      <c r="Y38" s="28">
        <f t="shared" si="6"/>
        <v>0</v>
      </c>
      <c r="Z38" s="21">
        <f t="shared" si="13"/>
        <v>0</v>
      </c>
      <c r="AA38" s="20">
        <f t="shared" si="8"/>
        <v>0</v>
      </c>
    </row>
    <row r="39" spans="1:27" ht="13.5">
      <c r="A39" s="24">
        <v>37</v>
      </c>
      <c r="B39" s="22" t="str">
        <f>'Меню 4 кв 2022'!P47</f>
        <v>Крупа перловая, в инд. уп.</v>
      </c>
      <c r="C39" s="23" t="str">
        <f>'Меню 4 кв 2022'!Q47</f>
        <v>кг</v>
      </c>
      <c r="D39" s="106">
        <f>'Меню 4 кв 2022'!R47</f>
        <v>51</v>
      </c>
      <c r="E39" s="232"/>
      <c r="F39" s="21">
        <f t="shared" si="0"/>
        <v>0</v>
      </c>
      <c r="G39" s="232"/>
      <c r="H39" s="21">
        <f t="shared" si="9"/>
        <v>0</v>
      </c>
      <c r="I39" s="232"/>
      <c r="J39" s="21">
        <f t="shared" si="10"/>
        <v>0</v>
      </c>
      <c r="K39" s="232"/>
      <c r="L39" s="21">
        <f t="shared" si="11"/>
        <v>0</v>
      </c>
      <c r="M39" s="235"/>
      <c r="N39" s="21">
        <f t="shared" si="12"/>
        <v>0</v>
      </c>
      <c r="O39" s="232"/>
      <c r="P39" s="21">
        <f t="shared" si="1"/>
        <v>0</v>
      </c>
      <c r="Q39" s="232"/>
      <c r="R39" s="21">
        <f t="shared" si="2"/>
        <v>0</v>
      </c>
      <c r="S39" s="232"/>
      <c r="T39" s="21">
        <f t="shared" si="3"/>
        <v>0</v>
      </c>
      <c r="U39" s="232"/>
      <c r="V39" s="21">
        <f t="shared" si="4"/>
        <v>0</v>
      </c>
      <c r="W39" s="232"/>
      <c r="X39" s="21">
        <f t="shared" si="5"/>
        <v>0</v>
      </c>
      <c r="Y39" s="28">
        <f t="shared" si="6"/>
        <v>0</v>
      </c>
      <c r="Z39" s="21">
        <f t="shared" si="13"/>
        <v>0</v>
      </c>
      <c r="AA39" s="20">
        <f t="shared" si="8"/>
        <v>0</v>
      </c>
    </row>
    <row r="40" spans="1:27" ht="13.5">
      <c r="A40" s="24">
        <v>38</v>
      </c>
      <c r="B40" s="22" t="str">
        <f>'Меню 4 кв 2022'!P48</f>
        <v>Крупа ячневая, в инд. уп.</v>
      </c>
      <c r="C40" s="23" t="str">
        <f>'Меню 4 кв 2022'!Q48</f>
        <v>кг</v>
      </c>
      <c r="D40" s="106">
        <f>'Меню 4 кв 2022'!R48</f>
        <v>53</v>
      </c>
      <c r="E40" s="232"/>
      <c r="F40" s="21">
        <f t="shared" si="0"/>
        <v>0</v>
      </c>
      <c r="G40" s="232"/>
      <c r="H40" s="21">
        <f t="shared" si="9"/>
        <v>0</v>
      </c>
      <c r="I40" s="232"/>
      <c r="J40" s="21">
        <f t="shared" si="10"/>
        <v>0</v>
      </c>
      <c r="K40" s="232"/>
      <c r="L40" s="21">
        <f t="shared" si="11"/>
        <v>0</v>
      </c>
      <c r="M40" s="235"/>
      <c r="N40" s="21">
        <f t="shared" si="12"/>
        <v>0</v>
      </c>
      <c r="O40" s="232"/>
      <c r="P40" s="21">
        <f t="shared" si="1"/>
        <v>0</v>
      </c>
      <c r="Q40" s="232"/>
      <c r="R40" s="21">
        <f t="shared" si="2"/>
        <v>0</v>
      </c>
      <c r="S40" s="232"/>
      <c r="T40" s="21">
        <f t="shared" si="3"/>
        <v>0</v>
      </c>
      <c r="U40" s="232"/>
      <c r="V40" s="21">
        <f t="shared" si="4"/>
        <v>0</v>
      </c>
      <c r="W40" s="232"/>
      <c r="X40" s="21">
        <f t="shared" si="5"/>
        <v>0</v>
      </c>
      <c r="Y40" s="28">
        <f t="shared" si="6"/>
        <v>0</v>
      </c>
      <c r="Z40" s="21">
        <f t="shared" si="13"/>
        <v>0</v>
      </c>
      <c r="AA40" s="20">
        <f t="shared" si="8"/>
        <v>0</v>
      </c>
    </row>
    <row r="41" spans="1:27" ht="13.5">
      <c r="A41" s="24">
        <v>39</v>
      </c>
      <c r="B41" s="22" t="str">
        <f>'Меню 4 кв 2022'!P49</f>
        <v>Хлопья "Геркулес", в инд. уп.</v>
      </c>
      <c r="C41" s="23" t="str">
        <f>'Меню 4 кв 2022'!Q49</f>
        <v>кг</v>
      </c>
      <c r="D41" s="106">
        <f>'Меню 4 кв 2022'!R49</f>
        <v>78</v>
      </c>
      <c r="E41" s="232"/>
      <c r="F41" s="21">
        <f t="shared" si="0"/>
        <v>0</v>
      </c>
      <c r="G41" s="232"/>
      <c r="H41" s="21">
        <f t="shared" si="9"/>
        <v>0</v>
      </c>
      <c r="I41" s="232"/>
      <c r="J41" s="21">
        <f t="shared" si="10"/>
        <v>0</v>
      </c>
      <c r="K41" s="232"/>
      <c r="L41" s="21">
        <f t="shared" si="11"/>
        <v>0</v>
      </c>
      <c r="M41" s="235"/>
      <c r="N41" s="21">
        <f t="shared" si="12"/>
        <v>0</v>
      </c>
      <c r="O41" s="232"/>
      <c r="P41" s="21">
        <f t="shared" si="1"/>
        <v>0</v>
      </c>
      <c r="Q41" s="232"/>
      <c r="R41" s="21">
        <f t="shared" si="2"/>
        <v>0</v>
      </c>
      <c r="S41" s="232"/>
      <c r="T41" s="21">
        <f t="shared" si="3"/>
        <v>0</v>
      </c>
      <c r="U41" s="232"/>
      <c r="V41" s="21">
        <f t="shared" si="4"/>
        <v>0</v>
      </c>
      <c r="W41" s="232"/>
      <c r="X41" s="21">
        <f t="shared" si="5"/>
        <v>0</v>
      </c>
      <c r="Y41" s="28">
        <f t="shared" si="6"/>
        <v>0</v>
      </c>
      <c r="Z41" s="21">
        <f t="shared" si="13"/>
        <v>0</v>
      </c>
      <c r="AA41" s="20">
        <f t="shared" si="8"/>
        <v>0</v>
      </c>
    </row>
    <row r="42" spans="1:27" ht="13.5">
      <c r="A42" s="24">
        <v>40</v>
      </c>
      <c r="B42" s="22" t="str">
        <f>'Меню 4 кв 2022'!P50</f>
        <v>Сахар-песок, в инд. уп.</v>
      </c>
      <c r="C42" s="23" t="str">
        <f>'Меню 4 кв 2022'!Q50</f>
        <v>кг</v>
      </c>
      <c r="D42" s="106">
        <f>'Меню 4 кв 2022'!R50</f>
        <v>94</v>
      </c>
      <c r="E42" s="232">
        <v>12</v>
      </c>
      <c r="F42" s="21">
        <f t="shared" si="0"/>
        <v>1.13</v>
      </c>
      <c r="G42" s="232">
        <f>5+7+9</f>
        <v>21</v>
      </c>
      <c r="H42" s="21">
        <f t="shared" si="9"/>
        <v>1.97</v>
      </c>
      <c r="I42" s="232">
        <v>14</v>
      </c>
      <c r="J42" s="21">
        <f t="shared" si="10"/>
        <v>1.32</v>
      </c>
      <c r="K42" s="232">
        <v>13</v>
      </c>
      <c r="L42" s="21">
        <f t="shared" si="11"/>
        <v>1.22</v>
      </c>
      <c r="M42" s="235">
        <f>3+12</f>
        <v>15</v>
      </c>
      <c r="N42" s="21">
        <f t="shared" si="12"/>
        <v>1.41</v>
      </c>
      <c r="O42" s="232">
        <f>10+13</f>
        <v>23</v>
      </c>
      <c r="P42" s="21">
        <f t="shared" si="1"/>
        <v>2.16</v>
      </c>
      <c r="Q42" s="232">
        <v>13</v>
      </c>
      <c r="R42" s="21">
        <f t="shared" si="2"/>
        <v>1.22</v>
      </c>
      <c r="S42" s="232">
        <v>12</v>
      </c>
      <c r="T42" s="21">
        <f t="shared" si="3"/>
        <v>1.13</v>
      </c>
      <c r="U42" s="232">
        <v>12</v>
      </c>
      <c r="V42" s="21">
        <f t="shared" si="4"/>
        <v>1.13</v>
      </c>
      <c r="W42" s="232">
        <v>10</v>
      </c>
      <c r="X42" s="21">
        <f t="shared" si="5"/>
        <v>0.94</v>
      </c>
      <c r="Y42" s="28">
        <f>(E42+G42+I42+K42+M42+O42+Q42+S42+U42+W42)</f>
        <v>145</v>
      </c>
      <c r="Z42" s="21">
        <f t="shared" si="13"/>
        <v>13.63</v>
      </c>
      <c r="AA42" s="20">
        <f t="shared" si="8"/>
        <v>870</v>
      </c>
    </row>
    <row r="43" spans="1:27" ht="13.5">
      <c r="A43" s="24">
        <v>41</v>
      </c>
      <c r="B43" s="22" t="str">
        <f>'Меню 4 кв 2022'!P51</f>
        <v>Макароны (высший сорт), в инд. уп.</v>
      </c>
      <c r="C43" s="23" t="str">
        <f>'Меню 4 кв 2022'!Q51</f>
        <v>кг</v>
      </c>
      <c r="D43" s="106">
        <f>'Меню 4 кв 2022'!R51</f>
        <v>65</v>
      </c>
      <c r="E43" s="232"/>
      <c r="F43" s="21">
        <f t="shared" si="0"/>
        <v>0</v>
      </c>
      <c r="G43" s="232"/>
      <c r="H43" s="21">
        <f t="shared" si="9"/>
        <v>0</v>
      </c>
      <c r="I43" s="232"/>
      <c r="J43" s="21">
        <f t="shared" si="10"/>
        <v>0</v>
      </c>
      <c r="K43" s="232"/>
      <c r="L43" s="21">
        <f t="shared" si="11"/>
        <v>0</v>
      </c>
      <c r="M43" s="235"/>
      <c r="N43" s="21">
        <f t="shared" si="12"/>
        <v>0</v>
      </c>
      <c r="O43" s="232"/>
      <c r="P43" s="21">
        <f t="shared" si="1"/>
        <v>0</v>
      </c>
      <c r="Q43" s="232"/>
      <c r="R43" s="21">
        <f t="shared" si="2"/>
        <v>0</v>
      </c>
      <c r="S43" s="232"/>
      <c r="T43" s="21">
        <f t="shared" si="3"/>
        <v>0</v>
      </c>
      <c r="U43" s="232"/>
      <c r="V43" s="21">
        <f t="shared" si="4"/>
        <v>0</v>
      </c>
      <c r="W43" s="232">
        <v>46</v>
      </c>
      <c r="X43" s="21">
        <f t="shared" si="5"/>
        <v>2.99</v>
      </c>
      <c r="Y43" s="28">
        <f t="shared" si="6"/>
        <v>46</v>
      </c>
      <c r="Z43" s="21">
        <f t="shared" si="13"/>
        <v>2.99</v>
      </c>
      <c r="AA43" s="20">
        <f t="shared" si="8"/>
        <v>276</v>
      </c>
    </row>
    <row r="44" spans="1:27" ht="15" customHeight="1">
      <c r="A44" s="24">
        <v>42</v>
      </c>
      <c r="B44" s="22" t="str">
        <f>'Меню 4 кв 2022'!P52</f>
        <v>Вермишель (высший сорт), в инд. уп.</v>
      </c>
      <c r="C44" s="23" t="str">
        <f>'Меню 4 кв 2022'!Q52</f>
        <v>кг</v>
      </c>
      <c r="D44" s="106">
        <f>'Меню 4 кв 2022'!R52</f>
        <v>67</v>
      </c>
      <c r="E44" s="232"/>
      <c r="F44" s="21">
        <f t="shared" si="0"/>
        <v>0</v>
      </c>
      <c r="G44" s="232"/>
      <c r="H44" s="21">
        <f t="shared" si="9"/>
        <v>0</v>
      </c>
      <c r="I44" s="232"/>
      <c r="J44" s="21">
        <f t="shared" si="10"/>
        <v>0</v>
      </c>
      <c r="K44" s="232"/>
      <c r="L44" s="21">
        <f t="shared" si="11"/>
        <v>0</v>
      </c>
      <c r="M44" s="235"/>
      <c r="N44" s="21">
        <f t="shared" si="12"/>
        <v>0</v>
      </c>
      <c r="O44" s="232"/>
      <c r="P44" s="21">
        <f t="shared" si="1"/>
        <v>0</v>
      </c>
      <c r="Q44" s="232"/>
      <c r="R44" s="21">
        <f t="shared" si="2"/>
        <v>0</v>
      </c>
      <c r="S44" s="232"/>
      <c r="T44" s="21">
        <f t="shared" si="3"/>
        <v>0</v>
      </c>
      <c r="U44" s="232"/>
      <c r="V44" s="21">
        <f t="shared" si="4"/>
        <v>0</v>
      </c>
      <c r="W44" s="232"/>
      <c r="X44" s="21">
        <f t="shared" si="5"/>
        <v>0</v>
      </c>
      <c r="Y44" s="28">
        <f t="shared" si="6"/>
        <v>0</v>
      </c>
      <c r="Z44" s="21">
        <f t="shared" si="13"/>
        <v>0</v>
      </c>
      <c r="AA44" s="20">
        <f t="shared" si="8"/>
        <v>0</v>
      </c>
    </row>
    <row r="45" spans="1:27" ht="13.5">
      <c r="A45" s="24">
        <v>43</v>
      </c>
      <c r="B45" s="22" t="str">
        <f>'Меню 4 кв 2022'!P53</f>
        <v>Дрожжи сухие</v>
      </c>
      <c r="C45" s="23" t="str">
        <f>'Меню 4 кв 2022'!Q53</f>
        <v>кг</v>
      </c>
      <c r="D45" s="106">
        <f>'Меню 4 кв 2022'!R53</f>
        <v>346</v>
      </c>
      <c r="E45" s="232"/>
      <c r="F45" s="21">
        <f t="shared" si="0"/>
        <v>0</v>
      </c>
      <c r="G45" s="232">
        <v>1</v>
      </c>
      <c r="H45" s="21">
        <f t="shared" si="9"/>
        <v>0.35</v>
      </c>
      <c r="I45" s="232"/>
      <c r="J45" s="21">
        <f t="shared" si="10"/>
        <v>0</v>
      </c>
      <c r="K45" s="232"/>
      <c r="L45" s="21">
        <f t="shared" si="11"/>
        <v>0</v>
      </c>
      <c r="M45" s="235">
        <v>3</v>
      </c>
      <c r="N45" s="21">
        <f t="shared" si="12"/>
        <v>1.04</v>
      </c>
      <c r="O45" s="232"/>
      <c r="P45" s="21">
        <f t="shared" si="1"/>
        <v>0</v>
      </c>
      <c r="Q45" s="232"/>
      <c r="R45" s="21">
        <f t="shared" si="2"/>
        <v>0</v>
      </c>
      <c r="S45" s="232"/>
      <c r="T45" s="21">
        <f t="shared" si="3"/>
        <v>0</v>
      </c>
      <c r="U45" s="232"/>
      <c r="V45" s="21">
        <f t="shared" si="4"/>
        <v>0</v>
      </c>
      <c r="W45" s="232"/>
      <c r="X45" s="21">
        <f t="shared" si="5"/>
        <v>0</v>
      </c>
      <c r="Y45" s="28">
        <f t="shared" si="6"/>
        <v>4</v>
      </c>
      <c r="Z45" s="21">
        <f t="shared" si="13"/>
        <v>1.38</v>
      </c>
      <c r="AA45" s="20">
        <f t="shared" si="8"/>
        <v>24</v>
      </c>
    </row>
    <row r="46" spans="1:27" ht="13.5">
      <c r="A46" s="24">
        <v>44</v>
      </c>
      <c r="B46" s="22" t="str">
        <f>'Меню 4 кв 2022'!P54</f>
        <v>Соль йодированная</v>
      </c>
      <c r="C46" s="23" t="str">
        <f>'Меню 4 кв 2022'!Q54</f>
        <v>кг</v>
      </c>
      <c r="D46" s="106">
        <f>'Меню 4 кв 2022'!R54</f>
        <v>23</v>
      </c>
      <c r="E46" s="232">
        <v>1.5</v>
      </c>
      <c r="F46" s="21">
        <f t="shared" si="0"/>
        <v>0.03</v>
      </c>
      <c r="G46" s="232">
        <v>4</v>
      </c>
      <c r="H46" s="21">
        <f t="shared" si="9"/>
        <v>0.09</v>
      </c>
      <c r="I46" s="232">
        <v>3.5</v>
      </c>
      <c r="J46" s="21">
        <f t="shared" si="10"/>
        <v>0.08</v>
      </c>
      <c r="K46" s="232">
        <v>5</v>
      </c>
      <c r="L46" s="21">
        <f t="shared" si="11"/>
        <v>0.12</v>
      </c>
      <c r="M46" s="235">
        <v>1.5</v>
      </c>
      <c r="N46" s="21">
        <f t="shared" si="12"/>
        <v>0.03</v>
      </c>
      <c r="O46" s="232">
        <v>1.5</v>
      </c>
      <c r="P46" s="21">
        <f t="shared" si="1"/>
        <v>0.03</v>
      </c>
      <c r="Q46" s="232">
        <v>4</v>
      </c>
      <c r="R46" s="21">
        <f t="shared" si="2"/>
        <v>0.09</v>
      </c>
      <c r="S46" s="232">
        <v>2.5</v>
      </c>
      <c r="T46" s="21">
        <f t="shared" si="3"/>
        <v>0.06</v>
      </c>
      <c r="U46" s="232">
        <v>5</v>
      </c>
      <c r="V46" s="21">
        <f t="shared" si="4"/>
        <v>0.12</v>
      </c>
      <c r="W46" s="232">
        <v>3.5</v>
      </c>
      <c r="X46" s="21">
        <f t="shared" si="5"/>
        <v>0.08</v>
      </c>
      <c r="Y46" s="28">
        <f t="shared" si="6"/>
        <v>32</v>
      </c>
      <c r="Z46" s="21">
        <f t="shared" si="13"/>
        <v>0.74</v>
      </c>
      <c r="AA46" s="20">
        <f t="shared" si="8"/>
        <v>192</v>
      </c>
    </row>
    <row r="47" spans="1:27" ht="13.5" customHeight="1">
      <c r="A47" s="24">
        <v>45</v>
      </c>
      <c r="B47" s="22" t="str">
        <f>'Меню 4 кв 2022'!P55</f>
        <v>Кисель фруктовый (концентрат)</v>
      </c>
      <c r="C47" s="23" t="str">
        <f>'Меню 4 кв 2022'!Q55</f>
        <v>кг</v>
      </c>
      <c r="D47" s="106">
        <f>'Меню 4 кв 2022'!R55</f>
        <v>212</v>
      </c>
      <c r="E47" s="232"/>
      <c r="F47" s="21">
        <f t="shared" si="0"/>
        <v>0</v>
      </c>
      <c r="G47" s="232"/>
      <c r="H47" s="21">
        <f t="shared" si="9"/>
        <v>0</v>
      </c>
      <c r="I47" s="232"/>
      <c r="J47" s="21">
        <f t="shared" si="10"/>
        <v>0</v>
      </c>
      <c r="K47" s="232"/>
      <c r="L47" s="21">
        <f t="shared" si="11"/>
        <v>0</v>
      </c>
      <c r="M47" s="235"/>
      <c r="N47" s="21">
        <f t="shared" si="12"/>
        <v>0</v>
      </c>
      <c r="O47" s="232"/>
      <c r="P47" s="21">
        <f t="shared" si="1"/>
        <v>0</v>
      </c>
      <c r="Q47" s="232"/>
      <c r="R47" s="21">
        <f t="shared" si="2"/>
        <v>0</v>
      </c>
      <c r="S47" s="232"/>
      <c r="T47" s="21">
        <f t="shared" si="3"/>
        <v>0</v>
      </c>
      <c r="U47" s="232"/>
      <c r="V47" s="21">
        <f t="shared" si="4"/>
        <v>0</v>
      </c>
      <c r="W47" s="232"/>
      <c r="X47" s="21">
        <f t="shared" si="5"/>
        <v>0</v>
      </c>
      <c r="Y47" s="28">
        <f t="shared" si="6"/>
        <v>0</v>
      </c>
      <c r="Z47" s="21">
        <f t="shared" si="13"/>
        <v>0</v>
      </c>
      <c r="AA47" s="20">
        <f t="shared" si="8"/>
        <v>0</v>
      </c>
    </row>
    <row r="48" spans="1:27" ht="13.5">
      <c r="A48" s="24">
        <v>46</v>
      </c>
      <c r="B48" s="22" t="str">
        <f>'Меню 4 кв 2022'!P56</f>
        <v>Кофейный напиток (ячменный)</v>
      </c>
      <c r="C48" s="23" t="str">
        <f>'Меню 4 кв 2022'!Q56</f>
        <v>кг</v>
      </c>
      <c r="D48" s="106">
        <f>'Меню 4 кв 2022'!R56</f>
        <v>501</v>
      </c>
      <c r="E48" s="232"/>
      <c r="F48" s="21">
        <f t="shared" si="0"/>
        <v>0</v>
      </c>
      <c r="G48" s="232"/>
      <c r="H48" s="21">
        <f t="shared" si="9"/>
        <v>0</v>
      </c>
      <c r="I48" s="232">
        <v>3</v>
      </c>
      <c r="J48" s="21">
        <f t="shared" si="10"/>
        <v>1.5</v>
      </c>
      <c r="K48" s="232"/>
      <c r="L48" s="21">
        <f t="shared" si="11"/>
        <v>0</v>
      </c>
      <c r="M48" s="235">
        <v>3</v>
      </c>
      <c r="N48" s="21">
        <f t="shared" si="12"/>
        <v>1.5</v>
      </c>
      <c r="O48" s="232">
        <v>3</v>
      </c>
      <c r="P48" s="21">
        <f t="shared" si="1"/>
        <v>1.5</v>
      </c>
      <c r="Q48" s="232"/>
      <c r="R48" s="21">
        <f t="shared" si="2"/>
        <v>0</v>
      </c>
      <c r="S48" s="232"/>
      <c r="T48" s="21">
        <f t="shared" si="3"/>
        <v>0</v>
      </c>
      <c r="U48" s="232"/>
      <c r="V48" s="21">
        <f t="shared" si="4"/>
        <v>0</v>
      </c>
      <c r="W48" s="232"/>
      <c r="X48" s="21">
        <f t="shared" si="5"/>
        <v>0</v>
      </c>
      <c r="Y48" s="28">
        <f t="shared" si="6"/>
        <v>9</v>
      </c>
      <c r="Z48" s="21">
        <f t="shared" si="13"/>
        <v>4.51</v>
      </c>
      <c r="AA48" s="20">
        <f t="shared" si="8"/>
        <v>54</v>
      </c>
    </row>
    <row r="49" spans="1:27" ht="13.5">
      <c r="A49" s="24">
        <v>47</v>
      </c>
      <c r="B49" s="22" t="str">
        <f>'Меню 4 кв 2022'!P57</f>
        <v>Какао порошок</v>
      </c>
      <c r="C49" s="23" t="str">
        <f>'Меню 4 кв 2022'!Q57</f>
        <v>кг</v>
      </c>
      <c r="D49" s="106">
        <f>'Меню 4 кв 2022'!R57</f>
        <v>409</v>
      </c>
      <c r="E49" s="232"/>
      <c r="F49" s="21">
        <f t="shared" si="0"/>
        <v>0</v>
      </c>
      <c r="G49" s="232">
        <v>3</v>
      </c>
      <c r="H49" s="21">
        <f t="shared" si="9"/>
        <v>1.23</v>
      </c>
      <c r="I49" s="232"/>
      <c r="J49" s="21">
        <f t="shared" si="10"/>
        <v>0</v>
      </c>
      <c r="K49" s="232"/>
      <c r="L49" s="21">
        <f t="shared" si="11"/>
        <v>0</v>
      </c>
      <c r="M49" s="235"/>
      <c r="N49" s="21">
        <f t="shared" si="12"/>
        <v>0</v>
      </c>
      <c r="O49" s="232"/>
      <c r="P49" s="21">
        <f t="shared" si="1"/>
        <v>0</v>
      </c>
      <c r="Q49" s="232">
        <v>3</v>
      </c>
      <c r="R49" s="21">
        <f t="shared" si="2"/>
        <v>1.23</v>
      </c>
      <c r="S49" s="232"/>
      <c r="T49" s="21">
        <f t="shared" si="3"/>
        <v>0</v>
      </c>
      <c r="U49" s="232"/>
      <c r="V49" s="21">
        <f t="shared" si="4"/>
        <v>0</v>
      </c>
      <c r="W49" s="232"/>
      <c r="X49" s="21">
        <f t="shared" si="5"/>
        <v>0</v>
      </c>
      <c r="Y49" s="28">
        <f t="shared" si="6"/>
        <v>6</v>
      </c>
      <c r="Z49" s="21">
        <f t="shared" si="13"/>
        <v>2.45</v>
      </c>
      <c r="AA49" s="20">
        <f t="shared" si="8"/>
        <v>36</v>
      </c>
    </row>
    <row r="50" spans="1:27" ht="13.5">
      <c r="A50" s="24">
        <v>48</v>
      </c>
      <c r="B50" s="22" t="str">
        <f>'Меню 4 кв 2022'!P58</f>
        <v>Чай черный (1 сорт)</v>
      </c>
      <c r="C50" s="23" t="str">
        <f>'Меню 4 кв 2022'!Q58</f>
        <v>кг</v>
      </c>
      <c r="D50" s="106">
        <f>'Меню 4 кв 2022'!R58</f>
        <v>514</v>
      </c>
      <c r="E50" s="232">
        <v>0.9</v>
      </c>
      <c r="F50" s="21">
        <f t="shared" si="0"/>
        <v>0.46</v>
      </c>
      <c r="G50" s="232"/>
      <c r="H50" s="21">
        <f t="shared" si="9"/>
        <v>0</v>
      </c>
      <c r="I50" s="232"/>
      <c r="J50" s="21">
        <f t="shared" si="10"/>
        <v>0</v>
      </c>
      <c r="K50" s="232">
        <v>1</v>
      </c>
      <c r="L50" s="21">
        <f t="shared" si="11"/>
        <v>0.51</v>
      </c>
      <c r="M50" s="235"/>
      <c r="N50" s="21">
        <f t="shared" si="12"/>
        <v>0</v>
      </c>
      <c r="O50" s="232"/>
      <c r="P50" s="21">
        <f t="shared" si="1"/>
        <v>0</v>
      </c>
      <c r="Q50" s="232"/>
      <c r="R50" s="21">
        <f t="shared" si="2"/>
        <v>0</v>
      </c>
      <c r="S50" s="232">
        <v>0.9</v>
      </c>
      <c r="T50" s="21">
        <f t="shared" si="3"/>
        <v>0.46</v>
      </c>
      <c r="U50" s="232">
        <v>1</v>
      </c>
      <c r="V50" s="21">
        <f t="shared" si="4"/>
        <v>0.51</v>
      </c>
      <c r="W50" s="232">
        <v>1</v>
      </c>
      <c r="X50" s="21">
        <f t="shared" si="5"/>
        <v>0.51</v>
      </c>
      <c r="Y50" s="28">
        <f t="shared" si="6"/>
        <v>4.8</v>
      </c>
      <c r="Z50" s="21">
        <f t="shared" si="13"/>
        <v>2.47</v>
      </c>
      <c r="AA50" s="20">
        <f t="shared" si="8"/>
        <v>28.8</v>
      </c>
    </row>
    <row r="51" spans="1:27" ht="13.5">
      <c r="A51" s="24">
        <v>49</v>
      </c>
      <c r="B51" s="22" t="str">
        <f>'Меню 4 кв 2022'!P59</f>
        <v>Лавровый лист</v>
      </c>
      <c r="C51" s="23" t="str">
        <f>'Меню 4 кв 2022'!Q59</f>
        <v>кг</v>
      </c>
      <c r="D51" s="106">
        <f>'Меню 4 кв 2022'!R59</f>
        <v>508</v>
      </c>
      <c r="E51" s="232"/>
      <c r="F51" s="21">
        <f t="shared" si="0"/>
        <v>0</v>
      </c>
      <c r="G51" s="232"/>
      <c r="H51" s="21">
        <f t="shared" si="9"/>
        <v>0</v>
      </c>
      <c r="I51" s="232"/>
      <c r="J51" s="21">
        <f t="shared" si="10"/>
        <v>0</v>
      </c>
      <c r="K51" s="232"/>
      <c r="L51" s="21">
        <f t="shared" si="11"/>
        <v>0</v>
      </c>
      <c r="M51" s="235"/>
      <c r="N51" s="21">
        <f t="shared" si="12"/>
        <v>0</v>
      </c>
      <c r="O51" s="232"/>
      <c r="P51" s="21">
        <f t="shared" si="1"/>
        <v>0</v>
      </c>
      <c r="Q51" s="232"/>
      <c r="R51" s="21">
        <f t="shared" si="2"/>
        <v>0</v>
      </c>
      <c r="S51" s="232"/>
      <c r="T51" s="21">
        <f t="shared" si="3"/>
        <v>0</v>
      </c>
      <c r="U51" s="232"/>
      <c r="V51" s="21">
        <f t="shared" si="4"/>
        <v>0</v>
      </c>
      <c r="W51" s="232"/>
      <c r="X51" s="21">
        <f t="shared" si="5"/>
        <v>0</v>
      </c>
      <c r="Y51" s="28">
        <f t="shared" si="6"/>
        <v>0</v>
      </c>
      <c r="Z51" s="21">
        <f t="shared" si="13"/>
        <v>0</v>
      </c>
      <c r="AA51" s="20">
        <f t="shared" si="8"/>
        <v>0</v>
      </c>
    </row>
    <row r="52" spans="1:27" ht="13.5">
      <c r="A52" s="24">
        <v>50</v>
      </c>
      <c r="B52" s="22" t="str">
        <f>'Меню 4 кв 2022'!P60</f>
        <v>Хлеб "Городской новый"</v>
      </c>
      <c r="C52" s="23" t="str">
        <f>'Меню 4 кв 2022'!Q60</f>
        <v>кг</v>
      </c>
      <c r="D52" s="106">
        <f>'Меню 4 кв 2022'!R60</f>
        <v>48</v>
      </c>
      <c r="E52" s="232">
        <v>50</v>
      </c>
      <c r="F52" s="21">
        <f t="shared" si="0"/>
        <v>2.4</v>
      </c>
      <c r="G52" s="232"/>
      <c r="H52" s="21">
        <f t="shared" si="9"/>
        <v>0</v>
      </c>
      <c r="I52" s="232">
        <v>50</v>
      </c>
      <c r="J52" s="21">
        <f t="shared" si="10"/>
        <v>2.4</v>
      </c>
      <c r="K52" s="232">
        <v>50</v>
      </c>
      <c r="L52" s="21">
        <f t="shared" si="11"/>
        <v>2.4</v>
      </c>
      <c r="M52" s="235"/>
      <c r="N52" s="21">
        <f t="shared" si="12"/>
        <v>0</v>
      </c>
      <c r="O52" s="232">
        <f>5+50</f>
        <v>55</v>
      </c>
      <c r="P52" s="21">
        <f t="shared" si="1"/>
        <v>2.64</v>
      </c>
      <c r="Q52" s="232">
        <v>50</v>
      </c>
      <c r="R52" s="21">
        <f t="shared" si="2"/>
        <v>2.4</v>
      </c>
      <c r="S52" s="232">
        <v>50</v>
      </c>
      <c r="T52" s="21">
        <f t="shared" si="3"/>
        <v>2.4</v>
      </c>
      <c r="U52" s="232">
        <v>50</v>
      </c>
      <c r="V52" s="21">
        <f t="shared" si="4"/>
        <v>2.4</v>
      </c>
      <c r="W52" s="232">
        <f>11+11+50</f>
        <v>72</v>
      </c>
      <c r="X52" s="21">
        <f t="shared" si="5"/>
        <v>3.46</v>
      </c>
      <c r="Y52" s="28">
        <f t="shared" si="6"/>
        <v>427</v>
      </c>
      <c r="Z52" s="21">
        <f t="shared" si="13"/>
        <v>20.5</v>
      </c>
      <c r="AA52" s="20">
        <f t="shared" si="8"/>
        <v>2562</v>
      </c>
    </row>
    <row r="53" spans="1:27" ht="13.5">
      <c r="A53" s="24">
        <v>51</v>
      </c>
      <c r="B53" s="22">
        <f>'Меню 4 кв 2022'!P61</f>
        <v>0</v>
      </c>
      <c r="C53" s="23">
        <f>'Меню 4 кв 2022'!Q61</f>
        <v>0</v>
      </c>
      <c r="D53" s="106">
        <f>'Меню 4 кв 2022'!R61</f>
        <v>0</v>
      </c>
      <c r="E53" s="232"/>
      <c r="F53" s="21">
        <f t="shared" si="0"/>
        <v>0</v>
      </c>
      <c r="G53" s="232"/>
      <c r="H53" s="21">
        <f t="shared" si="9"/>
        <v>0</v>
      </c>
      <c r="I53" s="232"/>
      <c r="J53" s="21">
        <f t="shared" si="10"/>
        <v>0</v>
      </c>
      <c r="K53" s="232"/>
      <c r="L53" s="21">
        <f t="shared" si="11"/>
        <v>0</v>
      </c>
      <c r="M53" s="235"/>
      <c r="N53" s="21">
        <f t="shared" si="12"/>
        <v>0</v>
      </c>
      <c r="O53" s="232"/>
      <c r="P53" s="21">
        <f t="shared" si="1"/>
        <v>0</v>
      </c>
      <c r="Q53" s="232"/>
      <c r="R53" s="21">
        <f t="shared" si="2"/>
        <v>0</v>
      </c>
      <c r="S53" s="232"/>
      <c r="T53" s="21">
        <f t="shared" si="3"/>
        <v>0</v>
      </c>
      <c r="U53" s="232"/>
      <c r="V53" s="21">
        <f t="shared" si="4"/>
        <v>0</v>
      </c>
      <c r="W53" s="232"/>
      <c r="X53" s="21">
        <f t="shared" si="5"/>
        <v>0</v>
      </c>
      <c r="Y53" s="28">
        <f t="shared" si="6"/>
        <v>0</v>
      </c>
      <c r="Z53" s="21">
        <f t="shared" si="13"/>
        <v>0</v>
      </c>
      <c r="AA53" s="20">
        <f t="shared" si="8"/>
        <v>0</v>
      </c>
    </row>
    <row r="54" spans="1:27" ht="13.5">
      <c r="A54" s="24">
        <v>52</v>
      </c>
      <c r="B54" s="22" t="str">
        <f>'Меню 4 кв 2022'!P62</f>
        <v>Печенье в ассортименте</v>
      </c>
      <c r="C54" s="23" t="str">
        <f>'Меню 4 кв 2022'!Q62</f>
        <v>кг</v>
      </c>
      <c r="D54" s="106">
        <f>'Меню 4 кв 2022'!R62</f>
        <v>159</v>
      </c>
      <c r="E54" s="232">
        <v>25</v>
      </c>
      <c r="F54" s="21">
        <f t="shared" si="0"/>
        <v>3.98</v>
      </c>
      <c r="G54" s="232"/>
      <c r="H54" s="21">
        <f t="shared" si="9"/>
        <v>0</v>
      </c>
      <c r="I54" s="232"/>
      <c r="J54" s="21">
        <f t="shared" si="10"/>
        <v>0</v>
      </c>
      <c r="K54" s="232"/>
      <c r="L54" s="21">
        <f t="shared" si="11"/>
        <v>0</v>
      </c>
      <c r="M54" s="235"/>
      <c r="N54" s="21">
        <f t="shared" si="12"/>
        <v>0</v>
      </c>
      <c r="O54" s="232"/>
      <c r="P54" s="21">
        <f t="shared" si="1"/>
        <v>0</v>
      </c>
      <c r="Q54" s="232"/>
      <c r="R54" s="21">
        <f t="shared" si="2"/>
        <v>0</v>
      </c>
      <c r="S54" s="232"/>
      <c r="T54" s="21">
        <f t="shared" si="3"/>
        <v>0</v>
      </c>
      <c r="U54" s="232"/>
      <c r="V54" s="21">
        <f t="shared" si="4"/>
        <v>0</v>
      </c>
      <c r="W54" s="232"/>
      <c r="X54" s="21">
        <f t="shared" si="5"/>
        <v>0</v>
      </c>
      <c r="Y54" s="28">
        <f t="shared" si="6"/>
        <v>25</v>
      </c>
      <c r="Z54" s="21">
        <f t="shared" si="13"/>
        <v>3.98</v>
      </c>
      <c r="AA54" s="20">
        <f t="shared" si="8"/>
        <v>150</v>
      </c>
    </row>
    <row r="55" spans="1:27" ht="13.5">
      <c r="A55" s="24">
        <v>53</v>
      </c>
      <c r="B55" s="22">
        <f>'Меню 4 кв 2022'!P63</f>
        <v>0</v>
      </c>
      <c r="C55" s="23">
        <f>'Меню 4 кв 2022'!Q63</f>
        <v>0</v>
      </c>
      <c r="D55" s="106">
        <f>'Меню 4 кв 2022'!R63</f>
        <v>0</v>
      </c>
      <c r="E55" s="232"/>
      <c r="F55" s="21">
        <f t="shared" si="0"/>
        <v>0</v>
      </c>
      <c r="G55" s="232"/>
      <c r="H55" s="21">
        <f t="shared" si="9"/>
        <v>0</v>
      </c>
      <c r="I55" s="232"/>
      <c r="J55" s="21">
        <f t="shared" si="10"/>
        <v>0</v>
      </c>
      <c r="K55" s="232"/>
      <c r="L55" s="21">
        <f t="shared" si="11"/>
        <v>0</v>
      </c>
      <c r="M55" s="235"/>
      <c r="N55" s="21">
        <f t="shared" si="12"/>
        <v>0</v>
      </c>
      <c r="O55" s="232"/>
      <c r="P55" s="21">
        <f t="shared" si="1"/>
        <v>0</v>
      </c>
      <c r="Q55" s="232"/>
      <c r="R55" s="21">
        <f t="shared" si="2"/>
        <v>0</v>
      </c>
      <c r="S55" s="232"/>
      <c r="T55" s="21">
        <f t="shared" si="3"/>
        <v>0</v>
      </c>
      <c r="U55" s="232"/>
      <c r="V55" s="21">
        <f t="shared" si="4"/>
        <v>0</v>
      </c>
      <c r="W55" s="232"/>
      <c r="X55" s="21">
        <f t="shared" si="5"/>
        <v>0</v>
      </c>
      <c r="Y55" s="28">
        <f t="shared" si="6"/>
        <v>0</v>
      </c>
      <c r="Z55" s="21">
        <f t="shared" si="13"/>
        <v>0</v>
      </c>
      <c r="AA55" s="20">
        <f t="shared" si="8"/>
        <v>0</v>
      </c>
    </row>
    <row r="56" spans="1:27" ht="13.5">
      <c r="A56" s="24">
        <v>54</v>
      </c>
      <c r="B56" s="22" t="str">
        <f>'Меню 4 кв 2022'!P64</f>
        <v>Пряник </v>
      </c>
      <c r="C56" s="23" t="str">
        <f>'Меню 4 кв 2022'!Q64</f>
        <v>кг</v>
      </c>
      <c r="D56" s="106">
        <f>'Меню 4 кв 2022'!R64</f>
        <v>179</v>
      </c>
      <c r="E56" s="232"/>
      <c r="F56" s="21">
        <f t="shared" si="0"/>
        <v>0</v>
      </c>
      <c r="G56" s="232"/>
      <c r="H56" s="21">
        <f t="shared" si="9"/>
        <v>0</v>
      </c>
      <c r="I56" s="232"/>
      <c r="J56" s="21">
        <f t="shared" si="10"/>
        <v>0</v>
      </c>
      <c r="K56" s="232"/>
      <c r="L56" s="21">
        <f t="shared" si="11"/>
        <v>0</v>
      </c>
      <c r="M56" s="235"/>
      <c r="N56" s="21">
        <f t="shared" si="12"/>
        <v>0</v>
      </c>
      <c r="O56" s="232"/>
      <c r="P56" s="21">
        <f t="shared" si="1"/>
        <v>0</v>
      </c>
      <c r="Q56" s="232"/>
      <c r="R56" s="21">
        <f t="shared" si="2"/>
        <v>0</v>
      </c>
      <c r="S56" s="232"/>
      <c r="T56" s="21">
        <f t="shared" si="3"/>
        <v>0</v>
      </c>
      <c r="U56" s="232"/>
      <c r="V56" s="21">
        <f t="shared" si="4"/>
        <v>0</v>
      </c>
      <c r="W56" s="232"/>
      <c r="X56" s="21">
        <f t="shared" si="5"/>
        <v>0</v>
      </c>
      <c r="Y56" s="28">
        <f t="shared" si="6"/>
        <v>0</v>
      </c>
      <c r="Z56" s="21">
        <f t="shared" si="13"/>
        <v>0</v>
      </c>
      <c r="AA56" s="20">
        <f t="shared" si="8"/>
        <v>0</v>
      </c>
    </row>
    <row r="57" spans="1:26" s="33" customFormat="1" ht="15">
      <c r="A57" s="67"/>
      <c r="B57" s="68" t="s">
        <v>50</v>
      </c>
      <c r="C57" s="32"/>
      <c r="D57" s="53"/>
      <c r="E57" s="232"/>
      <c r="F57" s="63">
        <f>SUM(F3:F56)</f>
        <v>65.07</v>
      </c>
      <c r="G57" s="232"/>
      <c r="H57" s="63">
        <f>SUM(H3:H56)</f>
        <v>65.07</v>
      </c>
      <c r="I57" s="232"/>
      <c r="J57" s="63">
        <f>SUM(J3:J56)</f>
        <v>65.07</v>
      </c>
      <c r="K57" s="232"/>
      <c r="L57" s="63">
        <f>SUM(L3:L56)</f>
        <v>65.07</v>
      </c>
      <c r="M57" s="235"/>
      <c r="N57" s="63">
        <f>SUM(N3:N56)</f>
        <v>65.07</v>
      </c>
      <c r="O57" s="232"/>
      <c r="P57" s="63">
        <f>SUM(P3:P56)</f>
        <v>65.07</v>
      </c>
      <c r="Q57" s="232"/>
      <c r="R57" s="63">
        <f>SUM(R3:R56)</f>
        <v>65.07</v>
      </c>
      <c r="S57" s="232"/>
      <c r="T57" s="63">
        <f>SUM(T3:T56)</f>
        <v>65.07</v>
      </c>
      <c r="U57" s="232"/>
      <c r="V57" s="63">
        <f>SUM(V3:V56)</f>
        <v>65.07</v>
      </c>
      <c r="W57" s="232"/>
      <c r="X57" s="63">
        <f>SUM(X3:X56)</f>
        <v>65.07</v>
      </c>
      <c r="Y57" s="66">
        <f t="shared" si="6"/>
        <v>0</v>
      </c>
      <c r="Z57" s="32">
        <f t="shared" si="13"/>
        <v>0</v>
      </c>
    </row>
    <row r="58" spans="1:26" s="33" customFormat="1" ht="12.75">
      <c r="A58" s="32"/>
      <c r="B58" s="32"/>
      <c r="C58" s="32"/>
      <c r="D58" s="53"/>
      <c r="E58" s="232"/>
      <c r="F58" s="32"/>
      <c r="G58" s="232"/>
      <c r="H58" s="32"/>
      <c r="I58" s="232"/>
      <c r="J58" s="32"/>
      <c r="K58" s="232"/>
      <c r="L58" s="32"/>
      <c r="M58" s="235"/>
      <c r="N58" s="32"/>
      <c r="O58" s="232"/>
      <c r="P58" s="32"/>
      <c r="Q58" s="232"/>
      <c r="R58" s="32"/>
      <c r="S58" s="232"/>
      <c r="T58" s="32"/>
      <c r="U58" s="232"/>
      <c r="V58" s="32"/>
      <c r="W58" s="232"/>
      <c r="X58" s="32"/>
      <c r="Y58" s="32"/>
      <c r="Z58" s="32">
        <f>SUM(Z3:Z57)</f>
        <v>650.59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C80"/>
  <sheetViews>
    <sheetView zoomScalePageLayoutView="0" workbookViewId="0" topLeftCell="A1">
      <selection activeCell="E4" sqref="E4"/>
    </sheetView>
  </sheetViews>
  <sheetFormatPr defaultColWidth="9.125" defaultRowHeight="12.75"/>
  <cols>
    <col min="1" max="1" width="3.50390625" style="20" bestFit="1" customWidth="1"/>
    <col min="2" max="2" width="34.50390625" style="20" customWidth="1"/>
    <col min="3" max="3" width="4.625" style="20" bestFit="1" customWidth="1"/>
    <col min="4" max="4" width="8.375" style="92" customWidth="1"/>
    <col min="5" max="5" width="8.375" style="231" customWidth="1"/>
    <col min="6" max="6" width="8.375" style="20" customWidth="1"/>
    <col min="7" max="7" width="8.375" style="231" customWidth="1"/>
    <col min="8" max="8" width="8.375" style="20" customWidth="1"/>
    <col min="9" max="9" width="8.375" style="231" customWidth="1"/>
    <col min="10" max="10" width="8.375" style="20" customWidth="1"/>
    <col min="11" max="11" width="8.375" style="231" customWidth="1"/>
    <col min="12" max="12" width="8.375" style="20" customWidth="1"/>
    <col min="13" max="13" width="8.375" style="236" customWidth="1"/>
    <col min="14" max="14" width="8.375" style="20" customWidth="1"/>
    <col min="15" max="15" width="8.375" style="231" customWidth="1"/>
    <col min="16" max="16" width="8.375" style="99" customWidth="1"/>
    <col min="17" max="17" width="8.375" style="231" customWidth="1"/>
    <col min="18" max="18" width="8.375" style="20" customWidth="1"/>
    <col min="19" max="19" width="8.375" style="231" customWidth="1"/>
    <col min="20" max="20" width="8.375" style="20" customWidth="1"/>
    <col min="21" max="21" width="8.375" style="231" customWidth="1"/>
    <col min="22" max="22" width="8.375" style="20" customWidth="1"/>
    <col min="23" max="23" width="8.375" style="236" customWidth="1"/>
    <col min="24" max="24" width="8.375" style="20" customWidth="1"/>
    <col min="25" max="25" width="8.375" style="92" customWidth="1"/>
    <col min="26" max="26" width="8.375" style="20" customWidth="1"/>
    <col min="27" max="28" width="9.125" style="20" customWidth="1"/>
    <col min="29" max="16384" width="9.125" style="20" customWidth="1"/>
  </cols>
  <sheetData>
    <row r="1" spans="2:7" ht="15" customHeight="1">
      <c r="B1" s="83" t="s">
        <v>5</v>
      </c>
      <c r="G1" s="234"/>
    </row>
    <row r="2" spans="1:29" ht="25.5" customHeight="1">
      <c r="A2" s="27" t="s">
        <v>3</v>
      </c>
      <c r="B2" s="27" t="s">
        <v>51</v>
      </c>
      <c r="C2" s="27" t="s">
        <v>174</v>
      </c>
      <c r="D2" s="93" t="s">
        <v>52</v>
      </c>
      <c r="E2" s="90">
        <v>1</v>
      </c>
      <c r="F2" s="27" t="s">
        <v>53</v>
      </c>
      <c r="G2" s="90">
        <v>2</v>
      </c>
      <c r="H2" s="27" t="s">
        <v>53</v>
      </c>
      <c r="I2" s="90">
        <v>3</v>
      </c>
      <c r="J2" s="27" t="s">
        <v>53</v>
      </c>
      <c r="K2" s="90">
        <v>4</v>
      </c>
      <c r="L2" s="27" t="s">
        <v>53</v>
      </c>
      <c r="M2" s="91">
        <v>5</v>
      </c>
      <c r="N2" s="27" t="s">
        <v>53</v>
      </c>
      <c r="O2" s="90">
        <v>1</v>
      </c>
      <c r="P2" s="100" t="s">
        <v>53</v>
      </c>
      <c r="Q2" s="90">
        <v>2</v>
      </c>
      <c r="R2" s="27" t="s">
        <v>53</v>
      </c>
      <c r="S2" s="90">
        <v>3</v>
      </c>
      <c r="T2" s="27" t="s">
        <v>53</v>
      </c>
      <c r="U2" s="90">
        <v>4</v>
      </c>
      <c r="V2" s="27" t="s">
        <v>53</v>
      </c>
      <c r="W2" s="91">
        <v>5</v>
      </c>
      <c r="X2" s="27" t="s">
        <v>53</v>
      </c>
      <c r="Y2" s="93" t="s">
        <v>54</v>
      </c>
      <c r="Z2" s="27" t="s">
        <v>53</v>
      </c>
      <c r="AA2" s="48"/>
      <c r="AB2" s="48"/>
      <c r="AC2" s="237" t="s">
        <v>79</v>
      </c>
    </row>
    <row r="3" spans="1:29" ht="15" customHeight="1">
      <c r="A3" s="24">
        <v>1</v>
      </c>
      <c r="B3" s="22" t="str">
        <f>завтрак!B3</f>
        <v>Яйцо (1 сорт)</v>
      </c>
      <c r="C3" s="23" t="str">
        <f>завтрак!C3</f>
        <v>шт</v>
      </c>
      <c r="D3" s="106">
        <f>завтрак!D3</f>
        <v>9.5</v>
      </c>
      <c r="E3" s="232"/>
      <c r="F3" s="21">
        <f>E3*D3</f>
        <v>0</v>
      </c>
      <c r="G3" s="232">
        <v>0.1</v>
      </c>
      <c r="H3" s="21">
        <f>G3*D3</f>
        <v>0.95</v>
      </c>
      <c r="I3" s="232"/>
      <c r="J3" s="21">
        <f>I3*D3</f>
        <v>0</v>
      </c>
      <c r="K3" s="232"/>
      <c r="L3" s="21">
        <f>K3*D3</f>
        <v>0</v>
      </c>
      <c r="M3" s="235"/>
      <c r="N3" s="21">
        <f>D3*M3</f>
        <v>0</v>
      </c>
      <c r="O3" s="232"/>
      <c r="P3" s="101">
        <f>O3*D3</f>
        <v>0</v>
      </c>
      <c r="Q3" s="232"/>
      <c r="R3" s="21">
        <f>Q3*D3</f>
        <v>0</v>
      </c>
      <c r="S3" s="232"/>
      <c r="T3" s="21">
        <f>D3*S3</f>
        <v>0</v>
      </c>
      <c r="U3" s="232"/>
      <c r="V3" s="21">
        <f>D3*U3</f>
        <v>0</v>
      </c>
      <c r="W3" s="235">
        <v>0.1</v>
      </c>
      <c r="X3" s="21">
        <f>D3*W3</f>
        <v>0.95</v>
      </c>
      <c r="Y3" s="94">
        <f>(E3+G3+I3+K3+M3+O3+Q3+S3+U3+W3)</f>
        <v>0.2</v>
      </c>
      <c r="Z3" s="21">
        <f>Y3*D3</f>
        <v>1.9</v>
      </c>
      <c r="AA3" s="49">
        <f>Y3*6</f>
        <v>1.2</v>
      </c>
      <c r="AB3" s="49"/>
      <c r="AC3" s="20">
        <f>(Y3+завтрак!Y3)/10</f>
        <v>0.39</v>
      </c>
    </row>
    <row r="4" spans="1:29" ht="15" customHeight="1">
      <c r="A4" s="24">
        <v>2</v>
      </c>
      <c r="B4" s="22" t="str">
        <f>завтрак!B4</f>
        <v>Мясо говядины (1 категории), без кости</v>
      </c>
      <c r="C4" s="23" t="str">
        <f>завтрак!C4</f>
        <v>кг</v>
      </c>
      <c r="D4" s="106">
        <f>завтрак!D4</f>
        <v>603</v>
      </c>
      <c r="E4" s="232"/>
      <c r="F4" s="21">
        <f>D4*E4/1000</f>
        <v>0</v>
      </c>
      <c r="G4" s="232">
        <v>53</v>
      </c>
      <c r="H4" s="21">
        <f>G4*D4/1000</f>
        <v>31.96</v>
      </c>
      <c r="I4" s="232"/>
      <c r="J4" s="21">
        <f>I4*D4/1000</f>
        <v>0</v>
      </c>
      <c r="K4" s="232"/>
      <c r="L4" s="21">
        <f>K4*D4/1000</f>
        <v>0</v>
      </c>
      <c r="M4" s="235">
        <v>51</v>
      </c>
      <c r="N4" s="21">
        <f>D4*M4/1000</f>
        <v>30.75</v>
      </c>
      <c r="O4" s="232">
        <v>57</v>
      </c>
      <c r="P4" s="101">
        <f>O4*D4/1000</f>
        <v>34.37</v>
      </c>
      <c r="Q4" s="232"/>
      <c r="R4" s="21">
        <f>D4*Q4/1000</f>
        <v>0</v>
      </c>
      <c r="S4" s="232">
        <v>52</v>
      </c>
      <c r="T4" s="21">
        <f>D4*S4/1000</f>
        <v>31.36</v>
      </c>
      <c r="U4" s="232"/>
      <c r="V4" s="21">
        <f>D4*U4/1000</f>
        <v>0</v>
      </c>
      <c r="W4" s="235">
        <v>59</v>
      </c>
      <c r="X4" s="21">
        <f>D4*W4/1000</f>
        <v>35.58</v>
      </c>
      <c r="Y4" s="94">
        <f aca="true" t="shared" si="0" ref="Y4:Y57">(E4+G4+I4+K4+M4+O4+Q4+S4+U4+W4)</f>
        <v>272</v>
      </c>
      <c r="Z4" s="21">
        <f>Y4*D4/1000</f>
        <v>164.02</v>
      </c>
      <c r="AA4" s="49">
        <f aca="true" t="shared" si="1" ref="AA4:AA56">Y4*6</f>
        <v>1632</v>
      </c>
      <c r="AB4" s="49"/>
      <c r="AC4" s="20">
        <f>(Y4+завтрак!Y4)/10</f>
        <v>38.3</v>
      </c>
    </row>
    <row r="5" spans="1:29" ht="15" customHeight="1">
      <c r="A5" s="24">
        <v>3</v>
      </c>
      <c r="B5" s="22" t="str">
        <f>завтрак!B5</f>
        <v>Мясо птицы (1 категории)</v>
      </c>
      <c r="C5" s="23" t="str">
        <f>завтрак!C5</f>
        <v>кг</v>
      </c>
      <c r="D5" s="106">
        <f>завтрак!D5</f>
        <v>258</v>
      </c>
      <c r="E5" s="232">
        <v>84</v>
      </c>
      <c r="F5" s="21">
        <f aca="true" t="shared" si="2" ref="F5:F56">D5*E5/1000</f>
        <v>21.67</v>
      </c>
      <c r="G5" s="232"/>
      <c r="H5" s="21">
        <f aca="true" t="shared" si="3" ref="H5:H56">G5*D5/1000</f>
        <v>0</v>
      </c>
      <c r="I5" s="232">
        <v>114</v>
      </c>
      <c r="J5" s="21">
        <f aca="true" t="shared" si="4" ref="J5:J56">I5*D5/1000</f>
        <v>29.41</v>
      </c>
      <c r="K5" s="232"/>
      <c r="L5" s="21">
        <f aca="true" t="shared" si="5" ref="L5:L56">K5*D5/1000</f>
        <v>0</v>
      </c>
      <c r="M5" s="235"/>
      <c r="N5" s="21">
        <f aca="true" t="shared" si="6" ref="N5:N56">D5*M5/1000</f>
        <v>0</v>
      </c>
      <c r="O5" s="232"/>
      <c r="P5" s="101">
        <f aca="true" t="shared" si="7" ref="P5:P56">O5*D5/1000</f>
        <v>0</v>
      </c>
      <c r="Q5" s="232">
        <v>106</v>
      </c>
      <c r="R5" s="21">
        <f aca="true" t="shared" si="8" ref="R5:R56">D5*Q5/1000</f>
        <v>27.35</v>
      </c>
      <c r="S5" s="232"/>
      <c r="T5" s="21">
        <f aca="true" t="shared" si="9" ref="T5:T56">D5*S5/1000</f>
        <v>0</v>
      </c>
      <c r="U5" s="232"/>
      <c r="V5" s="21">
        <f aca="true" t="shared" si="10" ref="V5:V56">D5*U5/1000</f>
        <v>0</v>
      </c>
      <c r="W5" s="235"/>
      <c r="X5" s="21">
        <f aca="true" t="shared" si="11" ref="X5:X56">D5*W5/1000</f>
        <v>0</v>
      </c>
      <c r="Y5" s="94">
        <f t="shared" si="0"/>
        <v>304</v>
      </c>
      <c r="Z5" s="21">
        <f aca="true" t="shared" si="12" ref="Z5:Z57">Y5*D5/1000</f>
        <v>78.43</v>
      </c>
      <c r="AA5" s="49">
        <f t="shared" si="1"/>
        <v>1824</v>
      </c>
      <c r="AB5" s="49"/>
      <c r="AC5" s="20">
        <f>(Y5+завтрак!Y5)/10</f>
        <v>52.3</v>
      </c>
    </row>
    <row r="6" spans="1:29" ht="15" customHeight="1">
      <c r="A6" s="24">
        <v>4</v>
      </c>
      <c r="B6" s="22" t="str">
        <f>завтрак!B6</f>
        <v>Сосиски говяжьи (высший сорт)</v>
      </c>
      <c r="C6" s="23" t="str">
        <f>завтрак!C6</f>
        <v>кг</v>
      </c>
      <c r="D6" s="106">
        <f>завтрак!D6</f>
        <v>284</v>
      </c>
      <c r="E6" s="232"/>
      <c r="F6" s="21">
        <f t="shared" si="2"/>
        <v>0</v>
      </c>
      <c r="G6" s="232"/>
      <c r="H6" s="21">
        <f t="shared" si="3"/>
        <v>0</v>
      </c>
      <c r="I6" s="232"/>
      <c r="J6" s="21">
        <f t="shared" si="4"/>
        <v>0</v>
      </c>
      <c r="K6" s="232"/>
      <c r="L6" s="21">
        <f t="shared" si="5"/>
        <v>0</v>
      </c>
      <c r="M6" s="235"/>
      <c r="N6" s="21">
        <f t="shared" si="6"/>
        <v>0</v>
      </c>
      <c r="O6" s="232"/>
      <c r="P6" s="101">
        <f t="shared" si="7"/>
        <v>0</v>
      </c>
      <c r="Q6" s="232"/>
      <c r="R6" s="21">
        <f t="shared" si="8"/>
        <v>0</v>
      </c>
      <c r="S6" s="232"/>
      <c r="T6" s="21">
        <f t="shared" si="9"/>
        <v>0</v>
      </c>
      <c r="U6" s="232"/>
      <c r="V6" s="21">
        <f t="shared" si="10"/>
        <v>0</v>
      </c>
      <c r="W6" s="235"/>
      <c r="X6" s="21">
        <f t="shared" si="11"/>
        <v>0</v>
      </c>
      <c r="Y6" s="94">
        <f t="shared" si="0"/>
        <v>0</v>
      </c>
      <c r="Z6" s="21">
        <f t="shared" si="12"/>
        <v>0</v>
      </c>
      <c r="AA6" s="49">
        <f t="shared" si="1"/>
        <v>0</v>
      </c>
      <c r="AB6" s="49"/>
      <c r="AC6" s="20">
        <f>(Y6+завтрак!Y6)/10</f>
        <v>6.5</v>
      </c>
    </row>
    <row r="7" spans="1:29" ht="27">
      <c r="A7" s="24">
        <v>5</v>
      </c>
      <c r="B7" s="22" t="str">
        <f>завтрак!B7</f>
        <v>Колбасы вареные для детского питания в/с</v>
      </c>
      <c r="C7" s="23" t="str">
        <f>завтрак!C7</f>
        <v>кг</v>
      </c>
      <c r="D7" s="106">
        <f>завтрак!D7</f>
        <v>301</v>
      </c>
      <c r="E7" s="232"/>
      <c r="F7" s="21">
        <f t="shared" si="2"/>
        <v>0</v>
      </c>
      <c r="G7" s="232"/>
      <c r="H7" s="21">
        <f t="shared" si="3"/>
        <v>0</v>
      </c>
      <c r="I7" s="232"/>
      <c r="J7" s="21">
        <f t="shared" si="4"/>
        <v>0</v>
      </c>
      <c r="K7" s="232"/>
      <c r="L7" s="21">
        <f t="shared" si="5"/>
        <v>0</v>
      </c>
      <c r="M7" s="235"/>
      <c r="N7" s="21">
        <f t="shared" si="6"/>
        <v>0</v>
      </c>
      <c r="O7" s="232"/>
      <c r="P7" s="101">
        <f t="shared" si="7"/>
        <v>0</v>
      </c>
      <c r="Q7" s="232"/>
      <c r="R7" s="21">
        <f t="shared" si="8"/>
        <v>0</v>
      </c>
      <c r="S7" s="232"/>
      <c r="T7" s="21">
        <f t="shared" si="9"/>
        <v>0</v>
      </c>
      <c r="U7" s="232"/>
      <c r="V7" s="21">
        <f t="shared" si="10"/>
        <v>0</v>
      </c>
      <c r="W7" s="235"/>
      <c r="X7" s="21">
        <f t="shared" si="11"/>
        <v>0</v>
      </c>
      <c r="Y7" s="94">
        <f t="shared" si="0"/>
        <v>0</v>
      </c>
      <c r="Z7" s="21">
        <f t="shared" si="12"/>
        <v>0</v>
      </c>
      <c r="AA7" s="49">
        <f t="shared" si="1"/>
        <v>0</v>
      </c>
      <c r="AB7" s="49"/>
      <c r="AC7" s="20">
        <f>(Y7+завтрак!Y7)/10</f>
        <v>0</v>
      </c>
    </row>
    <row r="8" spans="1:29" ht="13.5">
      <c r="A8" s="24">
        <v>6</v>
      </c>
      <c r="B8" s="22" t="str">
        <f>завтрак!B8</f>
        <v>Молоко пастеризованное (2,5%)</v>
      </c>
      <c r="C8" s="23" t="str">
        <f>завтрак!C8</f>
        <v>л</v>
      </c>
      <c r="D8" s="106">
        <f>завтрак!D8</f>
        <v>68</v>
      </c>
      <c r="E8" s="232"/>
      <c r="F8" s="21">
        <f t="shared" si="2"/>
        <v>0</v>
      </c>
      <c r="G8" s="232"/>
      <c r="H8" s="21">
        <f t="shared" si="3"/>
        <v>0</v>
      </c>
      <c r="I8" s="232"/>
      <c r="J8" s="21">
        <f t="shared" si="4"/>
        <v>0</v>
      </c>
      <c r="K8" s="232">
        <v>30</v>
      </c>
      <c r="L8" s="21">
        <f t="shared" si="5"/>
        <v>2.04</v>
      </c>
      <c r="M8" s="235"/>
      <c r="N8" s="21">
        <f t="shared" si="6"/>
        <v>0</v>
      </c>
      <c r="O8" s="232"/>
      <c r="P8" s="101">
        <f t="shared" si="7"/>
        <v>0</v>
      </c>
      <c r="Q8" s="232"/>
      <c r="R8" s="21">
        <f t="shared" si="8"/>
        <v>0</v>
      </c>
      <c r="S8" s="232"/>
      <c r="T8" s="21">
        <f t="shared" si="9"/>
        <v>0</v>
      </c>
      <c r="U8" s="232">
        <v>30</v>
      </c>
      <c r="V8" s="21">
        <f t="shared" si="10"/>
        <v>2.04</v>
      </c>
      <c r="W8" s="235"/>
      <c r="X8" s="21">
        <f t="shared" si="11"/>
        <v>0</v>
      </c>
      <c r="Y8" s="94">
        <f t="shared" si="0"/>
        <v>60</v>
      </c>
      <c r="Z8" s="21">
        <f t="shared" si="12"/>
        <v>4.08</v>
      </c>
      <c r="AA8" s="49">
        <f t="shared" si="1"/>
        <v>360</v>
      </c>
      <c r="AB8" s="49"/>
      <c r="AC8" s="20">
        <f>(Y8+завтрак!Y8)/10</f>
        <v>102</v>
      </c>
    </row>
    <row r="9" spans="1:29" ht="13.5">
      <c r="A9" s="24">
        <v>7</v>
      </c>
      <c r="B9" s="22" t="str">
        <f>завтрак!B9</f>
        <v>Масло сливочное (72,5%)</v>
      </c>
      <c r="C9" s="23" t="str">
        <f>завтрак!C9</f>
        <v>кг</v>
      </c>
      <c r="D9" s="106">
        <f>завтрак!D9</f>
        <v>481</v>
      </c>
      <c r="E9" s="232"/>
      <c r="F9" s="21">
        <f t="shared" si="2"/>
        <v>0</v>
      </c>
      <c r="G9" s="232">
        <v>5</v>
      </c>
      <c r="H9" s="21">
        <f t="shared" si="3"/>
        <v>2.41</v>
      </c>
      <c r="I9" s="232">
        <v>5</v>
      </c>
      <c r="J9" s="21">
        <f t="shared" si="4"/>
        <v>2.41</v>
      </c>
      <c r="K9" s="232">
        <f>2+5</f>
        <v>7</v>
      </c>
      <c r="L9" s="21">
        <f t="shared" si="5"/>
        <v>3.37</v>
      </c>
      <c r="M9" s="235">
        <v>6</v>
      </c>
      <c r="N9" s="21">
        <f t="shared" si="6"/>
        <v>2.89</v>
      </c>
      <c r="O9" s="232">
        <f>2+5</f>
        <v>7</v>
      </c>
      <c r="P9" s="101">
        <f t="shared" si="7"/>
        <v>3.37</v>
      </c>
      <c r="Q9" s="232"/>
      <c r="R9" s="21">
        <f t="shared" si="8"/>
        <v>0</v>
      </c>
      <c r="S9" s="232"/>
      <c r="T9" s="21">
        <f t="shared" si="9"/>
        <v>0</v>
      </c>
      <c r="U9" s="232">
        <v>6</v>
      </c>
      <c r="V9" s="21">
        <f t="shared" si="10"/>
        <v>2.89</v>
      </c>
      <c r="W9" s="235">
        <f>2+5</f>
        <v>7</v>
      </c>
      <c r="X9" s="21">
        <f t="shared" si="11"/>
        <v>3.37</v>
      </c>
      <c r="Y9" s="94">
        <f t="shared" si="0"/>
        <v>43</v>
      </c>
      <c r="Z9" s="21">
        <f t="shared" si="12"/>
        <v>20.68</v>
      </c>
      <c r="AA9" s="49">
        <f t="shared" si="1"/>
        <v>258</v>
      </c>
      <c r="AB9" s="49"/>
      <c r="AC9" s="20">
        <f>(Y9+завтрак!Y9)/10</f>
        <v>13</v>
      </c>
    </row>
    <row r="10" spans="1:29" ht="13.5">
      <c r="A10" s="24">
        <v>8</v>
      </c>
      <c r="B10" s="22" t="str">
        <f>завтрак!B10</f>
        <v>Сметана (15%)</v>
      </c>
      <c r="C10" s="23" t="str">
        <f>завтрак!C10</f>
        <v>кг</v>
      </c>
      <c r="D10" s="106">
        <f>завтрак!D10</f>
        <v>182</v>
      </c>
      <c r="E10" s="232">
        <v>10</v>
      </c>
      <c r="F10" s="21">
        <f t="shared" si="2"/>
        <v>1.82</v>
      </c>
      <c r="G10" s="232">
        <v>10</v>
      </c>
      <c r="H10" s="21">
        <f t="shared" si="3"/>
        <v>1.82</v>
      </c>
      <c r="I10" s="232">
        <f>10+13</f>
        <v>23</v>
      </c>
      <c r="J10" s="21">
        <f t="shared" si="4"/>
        <v>4.19</v>
      </c>
      <c r="K10" s="232"/>
      <c r="L10" s="21">
        <f t="shared" si="5"/>
        <v>0</v>
      </c>
      <c r="M10" s="235"/>
      <c r="N10" s="21">
        <f t="shared" si="6"/>
        <v>0</v>
      </c>
      <c r="O10" s="232">
        <v>10</v>
      </c>
      <c r="P10" s="101">
        <f t="shared" si="7"/>
        <v>1.82</v>
      </c>
      <c r="Q10" s="232"/>
      <c r="R10" s="21">
        <f t="shared" si="8"/>
        <v>0</v>
      </c>
      <c r="S10" s="232"/>
      <c r="T10" s="21">
        <f t="shared" si="9"/>
        <v>0</v>
      </c>
      <c r="U10" s="232"/>
      <c r="V10" s="21">
        <f t="shared" si="10"/>
        <v>0</v>
      </c>
      <c r="W10" s="235">
        <v>10</v>
      </c>
      <c r="X10" s="21">
        <f t="shared" si="11"/>
        <v>1.82</v>
      </c>
      <c r="Y10" s="94">
        <f t="shared" si="0"/>
        <v>63</v>
      </c>
      <c r="Z10" s="21">
        <f t="shared" si="12"/>
        <v>11.47</v>
      </c>
      <c r="AA10" s="49">
        <f t="shared" si="1"/>
        <v>378</v>
      </c>
      <c r="AB10" s="49"/>
      <c r="AC10" s="20">
        <f>(Y10+завтрак!Y10)/10</f>
        <v>8.1</v>
      </c>
    </row>
    <row r="11" spans="1:29" ht="13.5">
      <c r="A11" s="24">
        <v>9</v>
      </c>
      <c r="B11" s="22" t="str">
        <f>завтрак!B11</f>
        <v>Творог (5%)</v>
      </c>
      <c r="C11" s="23" t="str">
        <f>завтрак!C11</f>
        <v>кг</v>
      </c>
      <c r="D11" s="106">
        <f>завтрак!D11</f>
        <v>206</v>
      </c>
      <c r="E11" s="232"/>
      <c r="F11" s="21">
        <f t="shared" si="2"/>
        <v>0</v>
      </c>
      <c r="G11" s="232"/>
      <c r="H11" s="21">
        <f t="shared" si="3"/>
        <v>0</v>
      </c>
      <c r="I11" s="232"/>
      <c r="J11" s="21">
        <f t="shared" si="4"/>
        <v>0</v>
      </c>
      <c r="K11" s="232"/>
      <c r="L11" s="21">
        <f t="shared" si="5"/>
        <v>0</v>
      </c>
      <c r="M11" s="235"/>
      <c r="N11" s="21">
        <f t="shared" si="6"/>
        <v>0</v>
      </c>
      <c r="O11" s="232"/>
      <c r="P11" s="101">
        <f t="shared" si="7"/>
        <v>0</v>
      </c>
      <c r="Q11" s="232"/>
      <c r="R11" s="21">
        <f t="shared" si="8"/>
        <v>0</v>
      </c>
      <c r="S11" s="232"/>
      <c r="T11" s="21">
        <f t="shared" si="9"/>
        <v>0</v>
      </c>
      <c r="U11" s="232"/>
      <c r="V11" s="21">
        <f t="shared" si="10"/>
        <v>0</v>
      </c>
      <c r="W11" s="235"/>
      <c r="X11" s="21">
        <f t="shared" si="11"/>
        <v>0</v>
      </c>
      <c r="Y11" s="94">
        <f t="shared" si="0"/>
        <v>0</v>
      </c>
      <c r="Z11" s="21">
        <f t="shared" si="12"/>
        <v>0</v>
      </c>
      <c r="AA11" s="49">
        <f t="shared" si="1"/>
        <v>0</v>
      </c>
      <c r="AB11" s="49"/>
      <c r="AC11" s="20">
        <f>(Y11+завтрак!Y11)/10</f>
        <v>10.5</v>
      </c>
    </row>
    <row r="12" spans="1:29" ht="13.5">
      <c r="A12" s="24">
        <v>10</v>
      </c>
      <c r="B12" s="22" t="str">
        <f>завтрак!B12</f>
        <v>Сыр твердый (45%)</v>
      </c>
      <c r="C12" s="23" t="str">
        <f>завтрак!C12</f>
        <v>кг</v>
      </c>
      <c r="D12" s="106">
        <f>завтрак!D12</f>
        <v>505</v>
      </c>
      <c r="E12" s="232"/>
      <c r="F12" s="21">
        <f t="shared" si="2"/>
        <v>0</v>
      </c>
      <c r="G12" s="232"/>
      <c r="H12" s="21">
        <f t="shared" si="3"/>
        <v>0</v>
      </c>
      <c r="I12" s="232"/>
      <c r="J12" s="21">
        <f t="shared" si="4"/>
        <v>0</v>
      </c>
      <c r="K12" s="232"/>
      <c r="L12" s="21">
        <f t="shared" si="5"/>
        <v>0</v>
      </c>
      <c r="M12" s="235"/>
      <c r="N12" s="21">
        <f t="shared" si="6"/>
        <v>0</v>
      </c>
      <c r="O12" s="232"/>
      <c r="P12" s="101">
        <f t="shared" si="7"/>
        <v>0</v>
      </c>
      <c r="Q12" s="232"/>
      <c r="R12" s="21">
        <f t="shared" si="8"/>
        <v>0</v>
      </c>
      <c r="S12" s="232"/>
      <c r="T12" s="21">
        <f t="shared" si="9"/>
        <v>0</v>
      </c>
      <c r="U12" s="232"/>
      <c r="V12" s="21">
        <f t="shared" si="10"/>
        <v>0</v>
      </c>
      <c r="W12" s="235"/>
      <c r="X12" s="21">
        <f t="shared" si="11"/>
        <v>0</v>
      </c>
      <c r="Y12" s="94">
        <f t="shared" si="0"/>
        <v>0</v>
      </c>
      <c r="Z12" s="21">
        <f t="shared" si="12"/>
        <v>0</v>
      </c>
      <c r="AA12" s="49">
        <f t="shared" si="1"/>
        <v>0</v>
      </c>
      <c r="AB12" s="49"/>
      <c r="AC12" s="20">
        <f>(Y12+завтрак!Y12)/10</f>
        <v>5.95</v>
      </c>
    </row>
    <row r="13" spans="1:29" ht="27">
      <c r="A13" s="24">
        <v>11</v>
      </c>
      <c r="B13" s="22" t="str">
        <f>завтрак!B13</f>
        <v>Молоко сгущенное цельное с сахаром (8,5%)</v>
      </c>
      <c r="C13" s="23" t="str">
        <f>завтрак!C13</f>
        <v>кг</v>
      </c>
      <c r="D13" s="106">
        <f>завтрак!D13</f>
        <v>233</v>
      </c>
      <c r="E13" s="232"/>
      <c r="F13" s="21">
        <f t="shared" si="2"/>
        <v>0</v>
      </c>
      <c r="G13" s="232"/>
      <c r="H13" s="21">
        <f t="shared" si="3"/>
        <v>0</v>
      </c>
      <c r="I13" s="232"/>
      <c r="J13" s="21">
        <f t="shared" si="4"/>
        <v>0</v>
      </c>
      <c r="K13" s="232"/>
      <c r="L13" s="21">
        <f t="shared" si="5"/>
        <v>0</v>
      </c>
      <c r="M13" s="235"/>
      <c r="N13" s="21">
        <f t="shared" si="6"/>
        <v>0</v>
      </c>
      <c r="O13" s="232"/>
      <c r="P13" s="101">
        <f t="shared" si="7"/>
        <v>0</v>
      </c>
      <c r="Q13" s="232"/>
      <c r="R13" s="21">
        <f t="shared" si="8"/>
        <v>0</v>
      </c>
      <c r="S13" s="232"/>
      <c r="T13" s="21">
        <f t="shared" si="9"/>
        <v>0</v>
      </c>
      <c r="U13" s="232"/>
      <c r="V13" s="21">
        <f t="shared" si="10"/>
        <v>0</v>
      </c>
      <c r="W13" s="235"/>
      <c r="X13" s="21">
        <f t="shared" si="11"/>
        <v>0</v>
      </c>
      <c r="Y13" s="94">
        <f t="shared" si="0"/>
        <v>0</v>
      </c>
      <c r="Z13" s="21">
        <f t="shared" si="12"/>
        <v>0</v>
      </c>
      <c r="AA13" s="49">
        <f t="shared" si="1"/>
        <v>0</v>
      </c>
      <c r="AB13" s="49"/>
      <c r="AC13" s="20">
        <f>(Y13+завтрак!Y13)/10</f>
        <v>2</v>
      </c>
    </row>
    <row r="14" spans="1:29" ht="13.5">
      <c r="A14" s="24">
        <v>12</v>
      </c>
      <c r="B14" s="22" t="str">
        <f>завтрак!B14</f>
        <v>Картофель (1 сорт)</v>
      </c>
      <c r="C14" s="23" t="str">
        <f>завтрак!C14</f>
        <v>кг</v>
      </c>
      <c r="D14" s="106">
        <f>завтрак!D14</f>
        <v>58</v>
      </c>
      <c r="E14" s="232">
        <f>58+128</f>
        <v>186</v>
      </c>
      <c r="F14" s="21">
        <f t="shared" si="2"/>
        <v>10.79</v>
      </c>
      <c r="G14" s="232">
        <v>87</v>
      </c>
      <c r="H14" s="21">
        <v>5.06</v>
      </c>
      <c r="I14" s="232">
        <v>23</v>
      </c>
      <c r="J14" s="21">
        <f t="shared" si="4"/>
        <v>1.33</v>
      </c>
      <c r="K14" s="232">
        <f>58+184</f>
        <v>242</v>
      </c>
      <c r="L14" s="21">
        <v>14.05</v>
      </c>
      <c r="M14" s="235">
        <f>73+141</f>
        <v>214</v>
      </c>
      <c r="N14" s="21">
        <f t="shared" si="6"/>
        <v>12.41</v>
      </c>
      <c r="O14" s="232">
        <v>74</v>
      </c>
      <c r="P14" s="101">
        <v>4.28</v>
      </c>
      <c r="Q14" s="232">
        <v>89</v>
      </c>
      <c r="R14" s="21">
        <f t="shared" si="8"/>
        <v>5.16</v>
      </c>
      <c r="S14" s="232">
        <f>51+147</f>
        <v>198</v>
      </c>
      <c r="T14" s="21">
        <v>11.49</v>
      </c>
      <c r="U14" s="232">
        <f>85+182</f>
        <v>267</v>
      </c>
      <c r="V14" s="21">
        <f t="shared" si="10"/>
        <v>15.49</v>
      </c>
      <c r="W14" s="235">
        <v>24</v>
      </c>
      <c r="X14" s="21">
        <f t="shared" si="11"/>
        <v>1.39</v>
      </c>
      <c r="Y14" s="94">
        <f t="shared" si="0"/>
        <v>1404</v>
      </c>
      <c r="Z14" s="21">
        <f t="shared" si="12"/>
        <v>81.43</v>
      </c>
      <c r="AA14" s="49">
        <f t="shared" si="1"/>
        <v>8424</v>
      </c>
      <c r="AB14" s="49"/>
      <c r="AC14" s="20">
        <f>(Y14+завтрак!Y14)/10</f>
        <v>191.7</v>
      </c>
    </row>
    <row r="15" spans="1:29" ht="15.75" customHeight="1">
      <c r="A15" s="24">
        <v>13</v>
      </c>
      <c r="B15" s="22" t="str">
        <f>завтрак!B15</f>
        <v>Капуста белокачанная (1 сорт)</v>
      </c>
      <c r="C15" s="23" t="str">
        <f>завтрак!C15</f>
        <v>кг</v>
      </c>
      <c r="D15" s="106">
        <f>завтрак!D15</f>
        <v>51</v>
      </c>
      <c r="E15" s="232"/>
      <c r="F15" s="21">
        <f t="shared" si="2"/>
        <v>0</v>
      </c>
      <c r="G15" s="232"/>
      <c r="H15" s="21">
        <f t="shared" si="3"/>
        <v>0</v>
      </c>
      <c r="I15" s="232">
        <v>20</v>
      </c>
      <c r="J15" s="21">
        <f t="shared" si="4"/>
        <v>1.02</v>
      </c>
      <c r="K15" s="232"/>
      <c r="L15" s="21">
        <f t="shared" si="5"/>
        <v>0</v>
      </c>
      <c r="M15" s="235"/>
      <c r="N15" s="21">
        <f t="shared" si="6"/>
        <v>0</v>
      </c>
      <c r="O15" s="232"/>
      <c r="P15" s="101">
        <f t="shared" si="7"/>
        <v>0</v>
      </c>
      <c r="Q15" s="232"/>
      <c r="R15" s="21">
        <f t="shared" si="8"/>
        <v>0</v>
      </c>
      <c r="S15" s="232"/>
      <c r="T15" s="21">
        <f t="shared" si="9"/>
        <v>0</v>
      </c>
      <c r="U15" s="232"/>
      <c r="V15" s="21">
        <f t="shared" si="10"/>
        <v>0</v>
      </c>
      <c r="W15" s="235">
        <v>20</v>
      </c>
      <c r="X15" s="21">
        <f t="shared" si="11"/>
        <v>1.02</v>
      </c>
      <c r="Y15" s="94">
        <f t="shared" si="0"/>
        <v>40</v>
      </c>
      <c r="Z15" s="21">
        <f t="shared" si="12"/>
        <v>2.04</v>
      </c>
      <c r="AA15" s="49">
        <f t="shared" si="1"/>
        <v>240</v>
      </c>
      <c r="AB15" s="49"/>
      <c r="AC15" s="20">
        <f>(Y15+завтрак!Y15)/10</f>
        <v>4</v>
      </c>
    </row>
    <row r="16" spans="1:29" ht="14.25" customHeight="1">
      <c r="A16" s="24">
        <v>14</v>
      </c>
      <c r="B16" s="22" t="str">
        <f>завтрак!B16</f>
        <v>Лук репчатый (1 сорт)</v>
      </c>
      <c r="C16" s="23" t="str">
        <f>завтрак!C16</f>
        <v>кг</v>
      </c>
      <c r="D16" s="106">
        <f>завтрак!D16</f>
        <v>49</v>
      </c>
      <c r="E16" s="232">
        <f>12+13</f>
        <v>25</v>
      </c>
      <c r="F16" s="21">
        <v>1.21</v>
      </c>
      <c r="G16" s="232">
        <f>12+12</f>
        <v>24</v>
      </c>
      <c r="H16" s="21">
        <f t="shared" si="3"/>
        <v>1.18</v>
      </c>
      <c r="I16" s="232">
        <f>10</f>
        <v>10</v>
      </c>
      <c r="J16" s="21">
        <f t="shared" si="4"/>
        <v>0.49</v>
      </c>
      <c r="K16" s="232">
        <f>10+4</f>
        <v>14</v>
      </c>
      <c r="L16" s="21">
        <f t="shared" si="5"/>
        <v>0.69</v>
      </c>
      <c r="M16" s="235">
        <f>10+14</f>
        <v>24</v>
      </c>
      <c r="N16" s="21">
        <f t="shared" si="6"/>
        <v>1.18</v>
      </c>
      <c r="O16" s="232">
        <f>11+8</f>
        <v>19</v>
      </c>
      <c r="P16" s="101">
        <f t="shared" si="7"/>
        <v>0.93</v>
      </c>
      <c r="Q16" s="232">
        <f>12+14</f>
        <v>26</v>
      </c>
      <c r="R16" s="21">
        <v>1.28</v>
      </c>
      <c r="S16" s="232">
        <f>10+13</f>
        <v>23</v>
      </c>
      <c r="T16" s="21">
        <v>1.14</v>
      </c>
      <c r="U16" s="232">
        <f>10+10</f>
        <v>20</v>
      </c>
      <c r="V16" s="21">
        <f t="shared" si="10"/>
        <v>0.98</v>
      </c>
      <c r="W16" s="235">
        <f>10+12+4</f>
        <v>26</v>
      </c>
      <c r="X16" s="21">
        <f t="shared" si="11"/>
        <v>1.27</v>
      </c>
      <c r="Y16" s="94">
        <f t="shared" si="0"/>
        <v>211</v>
      </c>
      <c r="Z16" s="21">
        <f t="shared" si="12"/>
        <v>10.34</v>
      </c>
      <c r="AA16" s="49">
        <f t="shared" si="1"/>
        <v>1266</v>
      </c>
      <c r="AB16" s="49"/>
      <c r="AC16" s="20">
        <f>(Y16+завтрак!Y16)/10</f>
        <v>26.7</v>
      </c>
    </row>
    <row r="17" spans="1:29" ht="13.5">
      <c r="A17" s="24">
        <v>15</v>
      </c>
      <c r="B17" s="22" t="str">
        <f>завтрак!B17</f>
        <v>Морковь (1 сорт)</v>
      </c>
      <c r="C17" s="23" t="str">
        <f>завтрак!C17</f>
        <v>кг</v>
      </c>
      <c r="D17" s="106">
        <f>завтрак!D17</f>
        <v>67</v>
      </c>
      <c r="E17" s="232">
        <f>13+24</f>
        <v>37</v>
      </c>
      <c r="F17" s="21">
        <f t="shared" si="2"/>
        <v>2.48</v>
      </c>
      <c r="G17" s="232">
        <f>12</f>
        <v>12</v>
      </c>
      <c r="H17" s="21">
        <f t="shared" si="3"/>
        <v>0.8</v>
      </c>
      <c r="I17" s="232">
        <f>10</f>
        <v>10</v>
      </c>
      <c r="J17" s="21">
        <f t="shared" si="4"/>
        <v>0.67</v>
      </c>
      <c r="K17" s="232">
        <f>11+5</f>
        <v>16</v>
      </c>
      <c r="L17" s="21">
        <f t="shared" si="5"/>
        <v>1.07</v>
      </c>
      <c r="M17" s="235">
        <f>10</f>
        <v>10</v>
      </c>
      <c r="N17" s="21">
        <f t="shared" si="6"/>
        <v>0.67</v>
      </c>
      <c r="O17" s="232">
        <f>12+12</f>
        <v>24</v>
      </c>
      <c r="P17" s="101">
        <f t="shared" si="7"/>
        <v>1.61</v>
      </c>
      <c r="Q17" s="232">
        <f>13+14</f>
        <v>27</v>
      </c>
      <c r="R17" s="21">
        <f t="shared" si="8"/>
        <v>1.81</v>
      </c>
      <c r="S17" s="232">
        <f>9</f>
        <v>9</v>
      </c>
      <c r="T17" s="21">
        <f t="shared" si="9"/>
        <v>0.6</v>
      </c>
      <c r="U17" s="232">
        <f>10+19</f>
        <v>29</v>
      </c>
      <c r="V17" s="21">
        <v>1.95</v>
      </c>
      <c r="W17" s="235">
        <f>10+5</f>
        <v>15</v>
      </c>
      <c r="X17" s="21">
        <v>1.02</v>
      </c>
      <c r="Y17" s="94">
        <f t="shared" si="0"/>
        <v>189</v>
      </c>
      <c r="Z17" s="21">
        <f t="shared" si="12"/>
        <v>12.66</v>
      </c>
      <c r="AA17" s="49">
        <f t="shared" si="1"/>
        <v>1134</v>
      </c>
      <c r="AB17" s="49"/>
      <c r="AC17" s="20">
        <f>(Y17+завтрак!Y17)/10</f>
        <v>23.3</v>
      </c>
    </row>
    <row r="18" spans="1:29" ht="13.5">
      <c r="A18" s="24">
        <v>16</v>
      </c>
      <c r="B18" s="22" t="str">
        <f>завтрак!B18</f>
        <v>Свекла (1 сорт)</v>
      </c>
      <c r="C18" s="23" t="str">
        <f>завтрак!C18</f>
        <v>кг</v>
      </c>
      <c r="D18" s="106">
        <f>завтрак!D18</f>
        <v>57</v>
      </c>
      <c r="E18" s="232">
        <v>75</v>
      </c>
      <c r="F18" s="21">
        <f t="shared" si="2"/>
        <v>4.28</v>
      </c>
      <c r="G18" s="232"/>
      <c r="H18" s="21">
        <f t="shared" si="3"/>
        <v>0</v>
      </c>
      <c r="I18" s="232">
        <v>33</v>
      </c>
      <c r="J18" s="21">
        <f t="shared" si="4"/>
        <v>1.88</v>
      </c>
      <c r="K18" s="232"/>
      <c r="L18" s="21">
        <f t="shared" si="5"/>
        <v>0</v>
      </c>
      <c r="M18" s="235"/>
      <c r="N18" s="21">
        <f t="shared" si="6"/>
        <v>0</v>
      </c>
      <c r="O18" s="232"/>
      <c r="P18" s="101">
        <f t="shared" si="7"/>
        <v>0</v>
      </c>
      <c r="Q18" s="232"/>
      <c r="R18" s="21">
        <f t="shared" si="8"/>
        <v>0</v>
      </c>
      <c r="S18" s="232"/>
      <c r="T18" s="21">
        <f t="shared" si="9"/>
        <v>0</v>
      </c>
      <c r="U18" s="232"/>
      <c r="V18" s="21">
        <f t="shared" si="10"/>
        <v>0</v>
      </c>
      <c r="W18" s="235">
        <v>34</v>
      </c>
      <c r="X18" s="21">
        <f t="shared" si="11"/>
        <v>1.94</v>
      </c>
      <c r="Y18" s="94">
        <f t="shared" si="0"/>
        <v>142</v>
      </c>
      <c r="Z18" s="21">
        <f t="shared" si="12"/>
        <v>8.09</v>
      </c>
      <c r="AA18" s="49">
        <f t="shared" si="1"/>
        <v>852</v>
      </c>
      <c r="AB18" s="49"/>
      <c r="AC18" s="20">
        <f>(Y18+завтрак!Y18)/10</f>
        <v>14.2</v>
      </c>
    </row>
    <row r="19" spans="1:29" ht="27">
      <c r="A19" s="24">
        <v>17</v>
      </c>
      <c r="B19" s="22" t="str">
        <f>завтрак!B19</f>
        <v>Огурцы консервированные без уксуса (1с)</v>
      </c>
      <c r="C19" s="23" t="str">
        <f>завтрак!C19</f>
        <v>кг</v>
      </c>
      <c r="D19" s="106">
        <f>завтрак!D19</f>
        <v>68</v>
      </c>
      <c r="E19" s="232">
        <v>32</v>
      </c>
      <c r="F19" s="21">
        <f t="shared" si="2"/>
        <v>2.18</v>
      </c>
      <c r="G19" s="232"/>
      <c r="H19" s="21">
        <f t="shared" si="3"/>
        <v>0</v>
      </c>
      <c r="I19" s="232"/>
      <c r="J19" s="21">
        <f t="shared" si="4"/>
        <v>0</v>
      </c>
      <c r="K19" s="232"/>
      <c r="L19" s="21">
        <f t="shared" si="5"/>
        <v>0</v>
      </c>
      <c r="M19" s="235">
        <v>16</v>
      </c>
      <c r="N19" s="21">
        <f t="shared" si="6"/>
        <v>1.09</v>
      </c>
      <c r="O19" s="232">
        <v>21</v>
      </c>
      <c r="P19" s="101">
        <f t="shared" si="7"/>
        <v>1.43</v>
      </c>
      <c r="Q19" s="232"/>
      <c r="R19" s="21">
        <f t="shared" si="8"/>
        <v>0</v>
      </c>
      <c r="S19" s="232">
        <v>50</v>
      </c>
      <c r="T19" s="21">
        <f t="shared" si="9"/>
        <v>3.4</v>
      </c>
      <c r="U19" s="232"/>
      <c r="V19" s="21">
        <f t="shared" si="10"/>
        <v>0</v>
      </c>
      <c r="W19" s="235"/>
      <c r="X19" s="21">
        <f t="shared" si="11"/>
        <v>0</v>
      </c>
      <c r="Y19" s="94">
        <f>(E19+G19+I19+K19+M19+O19+Q19+S19+U19+W19)</f>
        <v>119</v>
      </c>
      <c r="Z19" s="21">
        <f t="shared" si="12"/>
        <v>8.09</v>
      </c>
      <c r="AA19" s="49">
        <f t="shared" si="1"/>
        <v>714</v>
      </c>
      <c r="AB19" s="49"/>
      <c r="AC19" s="20">
        <f>(Y19+завтрак!Y19)/10</f>
        <v>17.9</v>
      </c>
    </row>
    <row r="20" spans="1:29" ht="15.75" customHeight="1">
      <c r="A20" s="24">
        <v>18</v>
      </c>
      <c r="B20" s="22" t="str">
        <f>завтрак!B20</f>
        <v>Икра кабачковая для дет. питания</v>
      </c>
      <c r="C20" s="23" t="str">
        <f>завтрак!C20</f>
        <v>кг</v>
      </c>
      <c r="D20" s="106">
        <f>завтрак!D20</f>
        <v>111</v>
      </c>
      <c r="E20" s="232"/>
      <c r="F20" s="21">
        <f t="shared" si="2"/>
        <v>0</v>
      </c>
      <c r="G20" s="232"/>
      <c r="H20" s="21">
        <f t="shared" si="3"/>
        <v>0</v>
      </c>
      <c r="I20" s="232"/>
      <c r="J20" s="21">
        <f t="shared" si="4"/>
        <v>0</v>
      </c>
      <c r="K20" s="232"/>
      <c r="L20" s="21">
        <f t="shared" si="5"/>
        <v>0</v>
      </c>
      <c r="M20" s="235"/>
      <c r="N20" s="21">
        <f t="shared" si="6"/>
        <v>0</v>
      </c>
      <c r="O20" s="232"/>
      <c r="P20" s="101">
        <f t="shared" si="7"/>
        <v>0</v>
      </c>
      <c r="Q20" s="232"/>
      <c r="R20" s="21">
        <f t="shared" si="8"/>
        <v>0</v>
      </c>
      <c r="S20" s="232"/>
      <c r="T20" s="21">
        <f t="shared" si="9"/>
        <v>0</v>
      </c>
      <c r="U20" s="232"/>
      <c r="V20" s="21">
        <f t="shared" si="10"/>
        <v>0</v>
      </c>
      <c r="W20" s="235"/>
      <c r="X20" s="21">
        <f t="shared" si="11"/>
        <v>0</v>
      </c>
      <c r="Y20" s="94">
        <f t="shared" si="0"/>
        <v>0</v>
      </c>
      <c r="Z20" s="21">
        <f t="shared" si="12"/>
        <v>0</v>
      </c>
      <c r="AA20" s="49">
        <f t="shared" si="1"/>
        <v>0</v>
      </c>
      <c r="AB20" s="49"/>
      <c r="AC20" s="20">
        <f>(Y20+завтрак!Y20)/10</f>
        <v>12.5</v>
      </c>
    </row>
    <row r="21" spans="1:29" ht="13.5">
      <c r="A21" s="24">
        <v>19</v>
      </c>
      <c r="B21" s="22" t="str">
        <f>завтрак!B21</f>
        <v>Горошек зеленый (сорт салатный)</v>
      </c>
      <c r="C21" s="23" t="str">
        <f>завтрак!C21</f>
        <v>кг</v>
      </c>
      <c r="D21" s="106">
        <f>завтрак!D21</f>
        <v>127</v>
      </c>
      <c r="E21" s="232"/>
      <c r="F21" s="21">
        <f t="shared" si="2"/>
        <v>0</v>
      </c>
      <c r="G21" s="232"/>
      <c r="H21" s="21">
        <f t="shared" si="3"/>
        <v>0</v>
      </c>
      <c r="I21" s="232"/>
      <c r="J21" s="21">
        <f t="shared" si="4"/>
        <v>0</v>
      </c>
      <c r="K21" s="232"/>
      <c r="L21" s="21">
        <f t="shared" si="5"/>
        <v>0</v>
      </c>
      <c r="M21" s="235"/>
      <c r="N21" s="21">
        <f t="shared" si="6"/>
        <v>0</v>
      </c>
      <c r="O21" s="232"/>
      <c r="P21" s="101">
        <f t="shared" si="7"/>
        <v>0</v>
      </c>
      <c r="Q21" s="232"/>
      <c r="R21" s="21">
        <f t="shared" si="8"/>
        <v>0</v>
      </c>
      <c r="S21" s="232"/>
      <c r="T21" s="21">
        <f t="shared" si="9"/>
        <v>0</v>
      </c>
      <c r="U21" s="232"/>
      <c r="V21" s="21">
        <f t="shared" si="10"/>
        <v>0</v>
      </c>
      <c r="W21" s="235"/>
      <c r="X21" s="21">
        <f t="shared" si="11"/>
        <v>0</v>
      </c>
      <c r="Y21" s="94">
        <f t="shared" si="0"/>
        <v>0</v>
      </c>
      <c r="Z21" s="21">
        <f t="shared" si="12"/>
        <v>0</v>
      </c>
      <c r="AA21" s="49">
        <f t="shared" si="1"/>
        <v>0</v>
      </c>
      <c r="AB21" s="49"/>
      <c r="AC21" s="20">
        <f>(Y21+завтрак!Y21)/10</f>
        <v>0</v>
      </c>
    </row>
    <row r="22" spans="1:29" ht="27">
      <c r="A22" s="24">
        <v>20</v>
      </c>
      <c r="B22" s="22" t="str">
        <f>завтрак!B22</f>
        <v>Томатная паста с содержанием с/в (25-30%)</v>
      </c>
      <c r="C22" s="23" t="str">
        <f>завтрак!C22</f>
        <v>кг</v>
      </c>
      <c r="D22" s="106">
        <f>завтрак!D22</f>
        <v>124</v>
      </c>
      <c r="E22" s="232">
        <f>3+6</f>
        <v>9</v>
      </c>
      <c r="F22" s="21">
        <f t="shared" si="2"/>
        <v>1.12</v>
      </c>
      <c r="G22" s="232">
        <v>4</v>
      </c>
      <c r="H22" s="21">
        <f t="shared" si="3"/>
        <v>0.5</v>
      </c>
      <c r="I22" s="232">
        <f>2+5</f>
        <v>7</v>
      </c>
      <c r="J22" s="21">
        <f t="shared" si="4"/>
        <v>0.87</v>
      </c>
      <c r="K22" s="232">
        <v>2</v>
      </c>
      <c r="L22" s="21">
        <f t="shared" si="5"/>
        <v>0.25</v>
      </c>
      <c r="M22" s="235">
        <v>7</v>
      </c>
      <c r="N22" s="21">
        <f t="shared" si="6"/>
        <v>0.87</v>
      </c>
      <c r="O22" s="232">
        <v>2</v>
      </c>
      <c r="P22" s="101">
        <f t="shared" si="7"/>
        <v>0.25</v>
      </c>
      <c r="Q22" s="232">
        <v>3</v>
      </c>
      <c r="R22" s="21">
        <f t="shared" si="8"/>
        <v>0.37</v>
      </c>
      <c r="S22" s="232">
        <v>3</v>
      </c>
      <c r="T22" s="21">
        <f t="shared" si="9"/>
        <v>0.37</v>
      </c>
      <c r="U22" s="232">
        <v>4</v>
      </c>
      <c r="V22" s="21">
        <f t="shared" si="10"/>
        <v>0.5</v>
      </c>
      <c r="W22" s="235">
        <f>3+2</f>
        <v>5</v>
      </c>
      <c r="X22" s="21">
        <f t="shared" si="11"/>
        <v>0.62</v>
      </c>
      <c r="Y22" s="94">
        <f t="shared" si="0"/>
        <v>46</v>
      </c>
      <c r="Z22" s="21">
        <f t="shared" si="12"/>
        <v>5.7</v>
      </c>
      <c r="AA22" s="49">
        <f t="shared" si="1"/>
        <v>276</v>
      </c>
      <c r="AB22" s="49"/>
      <c r="AC22" s="20">
        <f>(Y22+завтрак!Y22)/10</f>
        <v>6.4</v>
      </c>
    </row>
    <row r="23" spans="1:29" ht="13.5">
      <c r="A23" s="24">
        <v>21</v>
      </c>
      <c r="B23" s="22" t="str">
        <f>завтрак!B23</f>
        <v>Яблоки свежие (1 сорт)</v>
      </c>
      <c r="C23" s="23" t="str">
        <f>завтрак!C23</f>
        <v>кг</v>
      </c>
      <c r="D23" s="106">
        <f>завтрак!D23</f>
        <v>116</v>
      </c>
      <c r="E23" s="232">
        <v>100</v>
      </c>
      <c r="F23" s="21">
        <f t="shared" si="2"/>
        <v>11.6</v>
      </c>
      <c r="G23" s="232">
        <v>75</v>
      </c>
      <c r="H23" s="21">
        <f t="shared" si="3"/>
        <v>8.7</v>
      </c>
      <c r="I23" s="232"/>
      <c r="J23" s="21">
        <f t="shared" si="4"/>
        <v>0</v>
      </c>
      <c r="K23" s="232"/>
      <c r="L23" s="21">
        <f t="shared" si="5"/>
        <v>0</v>
      </c>
      <c r="M23" s="235">
        <v>70</v>
      </c>
      <c r="N23" s="21">
        <f t="shared" si="6"/>
        <v>8.12</v>
      </c>
      <c r="O23" s="232">
        <v>70</v>
      </c>
      <c r="P23" s="101">
        <f t="shared" si="7"/>
        <v>8.12</v>
      </c>
      <c r="Q23" s="232"/>
      <c r="R23" s="21">
        <f t="shared" si="8"/>
        <v>0</v>
      </c>
      <c r="S23" s="232"/>
      <c r="T23" s="21">
        <f t="shared" si="9"/>
        <v>0</v>
      </c>
      <c r="U23" s="232"/>
      <c r="V23" s="21">
        <f t="shared" si="10"/>
        <v>0</v>
      </c>
      <c r="W23" s="235">
        <v>50</v>
      </c>
      <c r="X23" s="21">
        <f t="shared" si="11"/>
        <v>5.8</v>
      </c>
      <c r="Y23" s="94">
        <f t="shared" si="0"/>
        <v>365</v>
      </c>
      <c r="Z23" s="21">
        <f t="shared" si="12"/>
        <v>42.34</v>
      </c>
      <c r="AA23" s="49">
        <f t="shared" si="1"/>
        <v>2190</v>
      </c>
      <c r="AB23" s="49"/>
      <c r="AC23" s="20">
        <f>(Y23+завтрак!Y23)/10</f>
        <v>89.2</v>
      </c>
    </row>
    <row r="24" spans="1:29" ht="13.5">
      <c r="A24" s="24">
        <v>22</v>
      </c>
      <c r="B24" s="22" t="str">
        <f>завтрак!B24</f>
        <v>Бананы свежие (1 сорт)</v>
      </c>
      <c r="C24" s="23" t="str">
        <f>завтрак!C24</f>
        <v>кг</v>
      </c>
      <c r="D24" s="106">
        <f>завтрак!D24</f>
        <v>153</v>
      </c>
      <c r="E24" s="232"/>
      <c r="F24" s="21">
        <f t="shared" si="2"/>
        <v>0</v>
      </c>
      <c r="G24" s="232"/>
      <c r="H24" s="21">
        <f t="shared" si="3"/>
        <v>0</v>
      </c>
      <c r="I24" s="232">
        <v>70</v>
      </c>
      <c r="J24" s="21">
        <f t="shared" si="4"/>
        <v>10.71</v>
      </c>
      <c r="K24" s="232"/>
      <c r="L24" s="21">
        <f t="shared" si="5"/>
        <v>0</v>
      </c>
      <c r="M24" s="235"/>
      <c r="N24" s="21">
        <f t="shared" si="6"/>
        <v>0</v>
      </c>
      <c r="O24" s="232"/>
      <c r="P24" s="101">
        <f t="shared" si="7"/>
        <v>0</v>
      </c>
      <c r="Q24" s="232">
        <v>100</v>
      </c>
      <c r="R24" s="21">
        <f t="shared" si="8"/>
        <v>15.3</v>
      </c>
      <c r="S24" s="232">
        <v>60</v>
      </c>
      <c r="T24" s="21">
        <f t="shared" si="9"/>
        <v>9.18</v>
      </c>
      <c r="U24" s="232">
        <v>70</v>
      </c>
      <c r="V24" s="21">
        <f t="shared" si="10"/>
        <v>10.71</v>
      </c>
      <c r="W24" s="235"/>
      <c r="X24" s="21">
        <f t="shared" si="11"/>
        <v>0</v>
      </c>
      <c r="Y24" s="94">
        <f t="shared" si="0"/>
        <v>300</v>
      </c>
      <c r="Z24" s="21">
        <f t="shared" si="12"/>
        <v>45.9</v>
      </c>
      <c r="AA24" s="49">
        <f t="shared" si="1"/>
        <v>1800</v>
      </c>
      <c r="AB24" s="49"/>
      <c r="AC24" s="20">
        <f>(Y24+завтрак!Y24)/10</f>
        <v>74</v>
      </c>
    </row>
    <row r="25" spans="1:29" ht="13.5">
      <c r="A25" s="24">
        <v>23</v>
      </c>
      <c r="B25" s="22" t="str">
        <f>завтрак!B25</f>
        <v>Сухофрукты ассорти</v>
      </c>
      <c r="C25" s="23" t="str">
        <f>завтрак!C25</f>
        <v>кг</v>
      </c>
      <c r="D25" s="106">
        <f>завтрак!D25</f>
        <v>149</v>
      </c>
      <c r="E25" s="232">
        <v>15</v>
      </c>
      <c r="F25" s="21">
        <f t="shared" si="2"/>
        <v>2.24</v>
      </c>
      <c r="G25" s="232">
        <v>14</v>
      </c>
      <c r="H25" s="21">
        <f t="shared" si="3"/>
        <v>2.09</v>
      </c>
      <c r="I25" s="232">
        <v>14</v>
      </c>
      <c r="J25" s="21">
        <f t="shared" si="4"/>
        <v>2.09</v>
      </c>
      <c r="K25" s="232">
        <v>15</v>
      </c>
      <c r="L25" s="21">
        <f t="shared" si="5"/>
        <v>2.24</v>
      </c>
      <c r="M25" s="235">
        <v>13</v>
      </c>
      <c r="N25" s="21">
        <f t="shared" si="6"/>
        <v>1.94</v>
      </c>
      <c r="O25" s="232">
        <v>14</v>
      </c>
      <c r="P25" s="101">
        <f t="shared" si="7"/>
        <v>2.09</v>
      </c>
      <c r="Q25" s="232">
        <v>15</v>
      </c>
      <c r="R25" s="21">
        <f t="shared" si="8"/>
        <v>2.24</v>
      </c>
      <c r="S25" s="232">
        <v>13</v>
      </c>
      <c r="T25" s="21">
        <f t="shared" si="9"/>
        <v>1.94</v>
      </c>
      <c r="U25" s="232"/>
      <c r="V25" s="21">
        <f t="shared" si="10"/>
        <v>0</v>
      </c>
      <c r="W25" s="235">
        <v>13</v>
      </c>
      <c r="X25" s="21">
        <f t="shared" si="11"/>
        <v>1.94</v>
      </c>
      <c r="Y25" s="94">
        <f t="shared" si="0"/>
        <v>126</v>
      </c>
      <c r="Z25" s="21">
        <f t="shared" si="12"/>
        <v>18.77</v>
      </c>
      <c r="AA25" s="49">
        <f t="shared" si="1"/>
        <v>756</v>
      </c>
      <c r="AB25" s="49"/>
      <c r="AC25" s="20">
        <f>(Y25+завтрак!Y25)/10</f>
        <v>12.6</v>
      </c>
    </row>
    <row r="26" spans="1:29" ht="13.5">
      <c r="A26" s="24">
        <v>24</v>
      </c>
      <c r="B26" s="22" t="str">
        <f>завтрак!B26</f>
        <v>Изюм</v>
      </c>
      <c r="C26" s="23" t="str">
        <f>завтрак!C26</f>
        <v>кг</v>
      </c>
      <c r="D26" s="106">
        <f>завтрак!D26</f>
        <v>267</v>
      </c>
      <c r="E26" s="232"/>
      <c r="F26" s="21">
        <f t="shared" si="2"/>
        <v>0</v>
      </c>
      <c r="G26" s="232"/>
      <c r="H26" s="21">
        <f t="shared" si="3"/>
        <v>0</v>
      </c>
      <c r="I26" s="232"/>
      <c r="J26" s="21">
        <f t="shared" si="4"/>
        <v>0</v>
      </c>
      <c r="K26" s="232"/>
      <c r="L26" s="21">
        <f t="shared" si="5"/>
        <v>0</v>
      </c>
      <c r="M26" s="235"/>
      <c r="N26" s="21">
        <f t="shared" si="6"/>
        <v>0</v>
      </c>
      <c r="O26" s="232"/>
      <c r="P26" s="101">
        <f t="shared" si="7"/>
        <v>0</v>
      </c>
      <c r="Q26" s="232"/>
      <c r="R26" s="21">
        <f t="shared" si="8"/>
        <v>0</v>
      </c>
      <c r="S26" s="232"/>
      <c r="T26" s="21">
        <f t="shared" si="9"/>
        <v>0</v>
      </c>
      <c r="U26" s="232"/>
      <c r="V26" s="21">
        <f t="shared" si="10"/>
        <v>0</v>
      </c>
      <c r="W26" s="235"/>
      <c r="X26" s="21">
        <f t="shared" si="11"/>
        <v>0</v>
      </c>
      <c r="Y26" s="94">
        <f t="shared" si="0"/>
        <v>0</v>
      </c>
      <c r="Z26" s="21">
        <f t="shared" si="12"/>
        <v>0</v>
      </c>
      <c r="AA26" s="49">
        <f t="shared" si="1"/>
        <v>0</v>
      </c>
      <c r="AB26" s="49"/>
      <c r="AC26" s="20">
        <f>(Y26+завтрак!Y26)/10</f>
        <v>0</v>
      </c>
    </row>
    <row r="27" spans="1:29" ht="13.5">
      <c r="A27" s="24">
        <v>25</v>
      </c>
      <c r="B27" s="22" t="str">
        <f>завтрак!B27</f>
        <v>Повидло фруктовое (1 сорт)</v>
      </c>
      <c r="C27" s="23" t="str">
        <f>завтрак!C27</f>
        <v>кг</v>
      </c>
      <c r="D27" s="106">
        <f>завтрак!D27</f>
        <v>109</v>
      </c>
      <c r="E27" s="232"/>
      <c r="F27" s="21">
        <f t="shared" si="2"/>
        <v>0</v>
      </c>
      <c r="G27" s="232"/>
      <c r="H27" s="21">
        <f t="shared" si="3"/>
        <v>0</v>
      </c>
      <c r="I27" s="232"/>
      <c r="J27" s="21">
        <f t="shared" si="4"/>
        <v>0</v>
      </c>
      <c r="K27" s="232"/>
      <c r="L27" s="21">
        <f t="shared" si="5"/>
        <v>0</v>
      </c>
      <c r="M27" s="235"/>
      <c r="N27" s="21">
        <f t="shared" si="6"/>
        <v>0</v>
      </c>
      <c r="O27" s="232"/>
      <c r="P27" s="101">
        <f t="shared" si="7"/>
        <v>0</v>
      </c>
      <c r="Q27" s="232"/>
      <c r="R27" s="21">
        <f t="shared" si="8"/>
        <v>0</v>
      </c>
      <c r="S27" s="232"/>
      <c r="T27" s="21">
        <f t="shared" si="9"/>
        <v>0</v>
      </c>
      <c r="U27" s="232"/>
      <c r="V27" s="21">
        <f t="shared" si="10"/>
        <v>0</v>
      </c>
      <c r="W27" s="235"/>
      <c r="X27" s="21">
        <f t="shared" si="11"/>
        <v>0</v>
      </c>
      <c r="Y27" s="94">
        <f t="shared" si="0"/>
        <v>0</v>
      </c>
      <c r="Z27" s="21">
        <f t="shared" si="12"/>
        <v>0</v>
      </c>
      <c r="AA27" s="49">
        <f t="shared" si="1"/>
        <v>0</v>
      </c>
      <c r="AB27" s="49"/>
      <c r="AC27" s="20">
        <f>(Y27+завтрак!Y27)/10</f>
        <v>0</v>
      </c>
    </row>
    <row r="28" spans="1:29" ht="13.5">
      <c r="A28" s="24">
        <v>26</v>
      </c>
      <c r="B28" s="22" t="str">
        <f>завтрак!B28</f>
        <v>Сок фруктовый (1 литр)</v>
      </c>
      <c r="C28" s="23" t="str">
        <f>завтрак!C28</f>
        <v>л</v>
      </c>
      <c r="D28" s="106">
        <f>завтрак!D28</f>
        <v>62</v>
      </c>
      <c r="E28" s="232"/>
      <c r="F28" s="21">
        <f t="shared" si="2"/>
        <v>0</v>
      </c>
      <c r="G28" s="232"/>
      <c r="H28" s="21">
        <f t="shared" si="3"/>
        <v>0</v>
      </c>
      <c r="I28" s="232"/>
      <c r="J28" s="21">
        <f t="shared" si="4"/>
        <v>0</v>
      </c>
      <c r="K28" s="232"/>
      <c r="L28" s="21">
        <f t="shared" si="5"/>
        <v>0</v>
      </c>
      <c r="M28" s="235"/>
      <c r="N28" s="21">
        <f t="shared" si="6"/>
        <v>0</v>
      </c>
      <c r="O28" s="232"/>
      <c r="P28" s="101">
        <f t="shared" si="7"/>
        <v>0</v>
      </c>
      <c r="Q28" s="232"/>
      <c r="R28" s="21">
        <f t="shared" si="8"/>
        <v>0</v>
      </c>
      <c r="S28" s="232"/>
      <c r="T28" s="21">
        <f t="shared" si="9"/>
        <v>0</v>
      </c>
      <c r="U28" s="232"/>
      <c r="V28" s="21">
        <f t="shared" si="10"/>
        <v>0</v>
      </c>
      <c r="W28" s="235"/>
      <c r="X28" s="21">
        <f t="shared" si="11"/>
        <v>0</v>
      </c>
      <c r="Y28" s="94">
        <f t="shared" si="0"/>
        <v>0</v>
      </c>
      <c r="Z28" s="21">
        <f t="shared" si="12"/>
        <v>0</v>
      </c>
      <c r="AA28" s="49">
        <f t="shared" si="1"/>
        <v>0</v>
      </c>
      <c r="AB28" s="49"/>
      <c r="AC28" s="20">
        <f>(Y28+завтрак!Y28)/10</f>
        <v>0</v>
      </c>
    </row>
    <row r="29" spans="1:29" ht="15.75" customHeight="1">
      <c r="A29" s="24">
        <v>27</v>
      </c>
      <c r="B29" s="22" t="str">
        <f>завтрак!B29</f>
        <v>Масло растительное, рафинированное</v>
      </c>
      <c r="C29" s="23" t="str">
        <f>завтрак!C29</f>
        <v>кг</v>
      </c>
      <c r="D29" s="106">
        <f>завтрак!D29</f>
        <v>147</v>
      </c>
      <c r="E29" s="232">
        <f>4+2+5</f>
        <v>11</v>
      </c>
      <c r="F29" s="21">
        <f t="shared" si="2"/>
        <v>1.62</v>
      </c>
      <c r="G29" s="232">
        <f>5+5</f>
        <v>10</v>
      </c>
      <c r="H29" s="21">
        <f t="shared" si="3"/>
        <v>1.47</v>
      </c>
      <c r="I29" s="232">
        <v>4</v>
      </c>
      <c r="J29" s="21">
        <f t="shared" si="4"/>
        <v>0.59</v>
      </c>
      <c r="K29" s="232">
        <f>5+9</f>
        <v>14</v>
      </c>
      <c r="L29" s="21">
        <f t="shared" si="5"/>
        <v>2.06</v>
      </c>
      <c r="M29" s="235">
        <v>4</v>
      </c>
      <c r="N29" s="21">
        <f t="shared" si="6"/>
        <v>0.59</v>
      </c>
      <c r="O29" s="232">
        <v>5</v>
      </c>
      <c r="P29" s="101">
        <f t="shared" si="7"/>
        <v>0.74</v>
      </c>
      <c r="Q29" s="232">
        <f>6+8</f>
        <v>14</v>
      </c>
      <c r="R29" s="21">
        <f t="shared" si="8"/>
        <v>2.06</v>
      </c>
      <c r="S29" s="232">
        <f>4+5</f>
        <v>9</v>
      </c>
      <c r="T29" s="21">
        <f t="shared" si="9"/>
        <v>1.32</v>
      </c>
      <c r="U29" s="232">
        <f>4+5</f>
        <v>9</v>
      </c>
      <c r="V29" s="21">
        <f t="shared" si="10"/>
        <v>1.32</v>
      </c>
      <c r="W29" s="235">
        <f>4+4</f>
        <v>8</v>
      </c>
      <c r="X29" s="21">
        <f t="shared" si="11"/>
        <v>1.18</v>
      </c>
      <c r="Y29" s="94">
        <f t="shared" si="0"/>
        <v>88</v>
      </c>
      <c r="Z29" s="21">
        <f t="shared" si="12"/>
        <v>12.94</v>
      </c>
      <c r="AA29" s="49">
        <f t="shared" si="1"/>
        <v>528</v>
      </c>
      <c r="AB29" s="49"/>
      <c r="AC29" s="20">
        <f>(Y29+завтрак!Y29)/10</f>
        <v>13</v>
      </c>
    </row>
    <row r="30" spans="1:29" ht="13.5">
      <c r="A30" s="24">
        <v>28</v>
      </c>
      <c r="B30" s="22" t="str">
        <f>завтрак!B30</f>
        <v>Рыба с/м (1 сорт)</v>
      </c>
      <c r="C30" s="23" t="str">
        <f>завтрак!C30</f>
        <v>кг</v>
      </c>
      <c r="D30" s="106">
        <f>завтрак!D30</f>
        <v>205</v>
      </c>
      <c r="E30" s="232"/>
      <c r="F30" s="21">
        <f t="shared" si="2"/>
        <v>0</v>
      </c>
      <c r="G30" s="232"/>
      <c r="H30" s="21">
        <f t="shared" si="3"/>
        <v>0</v>
      </c>
      <c r="I30" s="232"/>
      <c r="J30" s="21">
        <f t="shared" si="4"/>
        <v>0</v>
      </c>
      <c r="K30" s="232">
        <v>126</v>
      </c>
      <c r="L30" s="21">
        <f t="shared" si="5"/>
        <v>25.83</v>
      </c>
      <c r="M30" s="235"/>
      <c r="N30" s="21">
        <f t="shared" si="6"/>
        <v>0</v>
      </c>
      <c r="O30" s="232"/>
      <c r="P30" s="101">
        <f t="shared" si="7"/>
        <v>0</v>
      </c>
      <c r="Q30" s="232"/>
      <c r="R30" s="21">
        <f t="shared" si="8"/>
        <v>0</v>
      </c>
      <c r="S30" s="232"/>
      <c r="T30" s="21">
        <f t="shared" si="9"/>
        <v>0</v>
      </c>
      <c r="U30" s="232">
        <v>103</v>
      </c>
      <c r="V30" s="21">
        <f t="shared" si="10"/>
        <v>21.12</v>
      </c>
      <c r="W30" s="235"/>
      <c r="X30" s="21">
        <f t="shared" si="11"/>
        <v>0</v>
      </c>
      <c r="Y30" s="94">
        <f t="shared" si="0"/>
        <v>229</v>
      </c>
      <c r="Z30" s="21">
        <f t="shared" si="12"/>
        <v>46.95</v>
      </c>
      <c r="AA30" s="49">
        <f t="shared" si="1"/>
        <v>1374</v>
      </c>
      <c r="AB30" s="49"/>
      <c r="AC30" s="20">
        <f>(Y30+завтрак!Y30)/10</f>
        <v>45.3</v>
      </c>
    </row>
    <row r="31" spans="1:29" ht="16.5" customHeight="1">
      <c r="A31" s="24">
        <v>29</v>
      </c>
      <c r="B31" s="22">
        <f>завтрак!B31</f>
        <v>0</v>
      </c>
      <c r="C31" s="23">
        <f>завтрак!C31</f>
        <v>0</v>
      </c>
      <c r="D31" s="106">
        <f>завтрак!D31</f>
        <v>0</v>
      </c>
      <c r="E31" s="232"/>
      <c r="F31" s="21">
        <f t="shared" si="2"/>
        <v>0</v>
      </c>
      <c r="G31" s="232"/>
      <c r="H31" s="21">
        <f t="shared" si="3"/>
        <v>0</v>
      </c>
      <c r="I31" s="232"/>
      <c r="J31" s="21">
        <f t="shared" si="4"/>
        <v>0</v>
      </c>
      <c r="K31" s="232"/>
      <c r="L31" s="21">
        <f t="shared" si="5"/>
        <v>0</v>
      </c>
      <c r="M31" s="235"/>
      <c r="N31" s="21">
        <f t="shared" si="6"/>
        <v>0</v>
      </c>
      <c r="O31" s="232"/>
      <c r="P31" s="101">
        <f t="shared" si="7"/>
        <v>0</v>
      </c>
      <c r="Q31" s="232"/>
      <c r="R31" s="21">
        <f t="shared" si="8"/>
        <v>0</v>
      </c>
      <c r="S31" s="232"/>
      <c r="T31" s="21">
        <f t="shared" si="9"/>
        <v>0</v>
      </c>
      <c r="U31" s="232"/>
      <c r="V31" s="21">
        <f t="shared" si="10"/>
        <v>0</v>
      </c>
      <c r="W31" s="235"/>
      <c r="X31" s="21">
        <f t="shared" si="11"/>
        <v>0</v>
      </c>
      <c r="Y31" s="94">
        <f t="shared" si="0"/>
        <v>0</v>
      </c>
      <c r="Z31" s="21">
        <f t="shared" si="12"/>
        <v>0</v>
      </c>
      <c r="AA31" s="49">
        <f t="shared" si="1"/>
        <v>0</v>
      </c>
      <c r="AB31" s="49"/>
      <c r="AC31" s="20">
        <f>(Y31+завтрак!Y31)/10</f>
        <v>0</v>
      </c>
    </row>
    <row r="32" spans="1:29" ht="27">
      <c r="A32" s="24">
        <v>30</v>
      </c>
      <c r="B32" s="22" t="str">
        <f>завтрак!B32</f>
        <v>Мука пшеничная (высший сорт), в инд. уп.</v>
      </c>
      <c r="C32" s="23" t="str">
        <f>завтрак!C32</f>
        <v>кг</v>
      </c>
      <c r="D32" s="106">
        <f>завтрак!D32</f>
        <v>48</v>
      </c>
      <c r="E32" s="232">
        <v>2</v>
      </c>
      <c r="F32" s="21">
        <f t="shared" si="2"/>
        <v>0.1</v>
      </c>
      <c r="G32" s="232">
        <v>1</v>
      </c>
      <c r="H32" s="21">
        <f t="shared" si="3"/>
        <v>0.05</v>
      </c>
      <c r="I32" s="232">
        <v>5</v>
      </c>
      <c r="J32" s="21">
        <f t="shared" si="4"/>
        <v>0.24</v>
      </c>
      <c r="K32" s="232">
        <f>7+2</f>
        <v>9</v>
      </c>
      <c r="L32" s="21">
        <f t="shared" si="5"/>
        <v>0.43</v>
      </c>
      <c r="M32" s="235">
        <v>2</v>
      </c>
      <c r="N32" s="21">
        <f t="shared" si="6"/>
        <v>0.1</v>
      </c>
      <c r="O32" s="232">
        <v>3</v>
      </c>
      <c r="P32" s="101">
        <f t="shared" si="7"/>
        <v>0.14</v>
      </c>
      <c r="Q32" s="232"/>
      <c r="R32" s="21">
        <f t="shared" si="8"/>
        <v>0</v>
      </c>
      <c r="S32" s="232"/>
      <c r="T32" s="21">
        <f t="shared" si="9"/>
        <v>0</v>
      </c>
      <c r="U32" s="232"/>
      <c r="V32" s="21">
        <f t="shared" si="10"/>
        <v>0</v>
      </c>
      <c r="W32" s="235">
        <v>2</v>
      </c>
      <c r="X32" s="21">
        <f t="shared" si="11"/>
        <v>0.1</v>
      </c>
      <c r="Y32" s="94">
        <f t="shared" si="0"/>
        <v>24</v>
      </c>
      <c r="Z32" s="21">
        <f t="shared" si="12"/>
        <v>1.15</v>
      </c>
      <c r="AA32" s="49">
        <f t="shared" si="1"/>
        <v>144</v>
      </c>
      <c r="AB32" s="49"/>
      <c r="AC32" s="20">
        <f>(Y32+завтрак!Y32)/10</f>
        <v>15.7</v>
      </c>
    </row>
    <row r="33" spans="1:29" ht="13.5">
      <c r="A33" s="24">
        <v>31</v>
      </c>
      <c r="B33" s="22" t="str">
        <f>завтрак!B33</f>
        <v>Крупа гречневая, в инд. уп.</v>
      </c>
      <c r="C33" s="23" t="str">
        <f>завтрак!C33</f>
        <v>кг</v>
      </c>
      <c r="D33" s="106">
        <f>завтрак!D33</f>
        <v>129</v>
      </c>
      <c r="E33" s="232"/>
      <c r="F33" s="21">
        <f t="shared" si="2"/>
        <v>0</v>
      </c>
      <c r="G33" s="232"/>
      <c r="H33" s="21">
        <f t="shared" si="3"/>
        <v>0</v>
      </c>
      <c r="I33" s="232">
        <v>46</v>
      </c>
      <c r="J33" s="21">
        <f t="shared" si="4"/>
        <v>5.93</v>
      </c>
      <c r="K33" s="232"/>
      <c r="L33" s="21">
        <f t="shared" si="5"/>
        <v>0</v>
      </c>
      <c r="M33" s="235">
        <v>6</v>
      </c>
      <c r="N33" s="21">
        <f t="shared" si="6"/>
        <v>0.77</v>
      </c>
      <c r="O33" s="232"/>
      <c r="P33" s="101">
        <f t="shared" si="7"/>
        <v>0</v>
      </c>
      <c r="Q33" s="232"/>
      <c r="R33" s="21">
        <f t="shared" si="8"/>
        <v>0</v>
      </c>
      <c r="S33" s="232"/>
      <c r="T33" s="21">
        <f t="shared" si="9"/>
        <v>0</v>
      </c>
      <c r="U33" s="232"/>
      <c r="V33" s="21">
        <f t="shared" si="10"/>
        <v>0</v>
      </c>
      <c r="W33" s="235"/>
      <c r="X33" s="21">
        <f t="shared" si="11"/>
        <v>0</v>
      </c>
      <c r="Y33" s="94">
        <f t="shared" si="0"/>
        <v>52</v>
      </c>
      <c r="Z33" s="21">
        <f t="shared" si="12"/>
        <v>6.71</v>
      </c>
      <c r="AA33" s="49">
        <f t="shared" si="1"/>
        <v>312</v>
      </c>
      <c r="AB33" s="49"/>
      <c r="AC33" s="20">
        <f>(Y33+завтрак!Y33)/10</f>
        <v>9.9</v>
      </c>
    </row>
    <row r="34" spans="1:29" ht="13.5">
      <c r="A34" s="24">
        <v>32</v>
      </c>
      <c r="B34" s="22" t="str">
        <f>завтрак!B34</f>
        <v>Крупа манная (1 сорт), в инд. уп.</v>
      </c>
      <c r="C34" s="23" t="str">
        <f>завтрак!C34</f>
        <v>кг</v>
      </c>
      <c r="D34" s="106">
        <f>завтрак!D34</f>
        <v>57</v>
      </c>
      <c r="E34" s="232"/>
      <c r="F34" s="21">
        <f t="shared" si="2"/>
        <v>0</v>
      </c>
      <c r="G34" s="232"/>
      <c r="H34" s="21">
        <f t="shared" si="3"/>
        <v>0</v>
      </c>
      <c r="I34" s="232"/>
      <c r="J34" s="21">
        <f t="shared" si="4"/>
        <v>0</v>
      </c>
      <c r="K34" s="232"/>
      <c r="L34" s="21">
        <f t="shared" si="5"/>
        <v>0</v>
      </c>
      <c r="M34" s="235"/>
      <c r="N34" s="21">
        <f t="shared" si="6"/>
        <v>0</v>
      </c>
      <c r="O34" s="232"/>
      <c r="P34" s="101">
        <f t="shared" si="7"/>
        <v>0</v>
      </c>
      <c r="Q34" s="232"/>
      <c r="R34" s="21">
        <f t="shared" si="8"/>
        <v>0</v>
      </c>
      <c r="S34" s="232"/>
      <c r="T34" s="21">
        <f t="shared" si="9"/>
        <v>0</v>
      </c>
      <c r="U34" s="232"/>
      <c r="V34" s="21">
        <f t="shared" si="10"/>
        <v>0</v>
      </c>
      <c r="W34" s="235"/>
      <c r="X34" s="21">
        <f t="shared" si="11"/>
        <v>0</v>
      </c>
      <c r="Y34" s="94">
        <f t="shared" si="0"/>
        <v>0</v>
      </c>
      <c r="Z34" s="21">
        <f t="shared" si="12"/>
        <v>0</v>
      </c>
      <c r="AA34" s="49">
        <f t="shared" si="1"/>
        <v>0</v>
      </c>
      <c r="AB34" s="49"/>
      <c r="AC34" s="20">
        <f>(Y34+завтрак!Y34)/10</f>
        <v>2</v>
      </c>
    </row>
    <row r="35" spans="1:29" ht="13.5">
      <c r="A35" s="24">
        <v>33</v>
      </c>
      <c r="B35" s="22" t="str">
        <f>завтрак!B35</f>
        <v>Рис (1 сорт), в инд. уп.</v>
      </c>
      <c r="C35" s="23" t="str">
        <f>завтрак!C35</f>
        <v>кг</v>
      </c>
      <c r="D35" s="106">
        <f>завтрак!D35</f>
        <v>100</v>
      </c>
      <c r="E35" s="232"/>
      <c r="F35" s="21">
        <f t="shared" si="2"/>
        <v>0</v>
      </c>
      <c r="G35" s="232"/>
      <c r="H35" s="21">
        <f t="shared" si="3"/>
        <v>0</v>
      </c>
      <c r="I35" s="232"/>
      <c r="J35" s="21">
        <f t="shared" si="4"/>
        <v>0</v>
      </c>
      <c r="K35" s="232"/>
      <c r="L35" s="21">
        <f t="shared" si="5"/>
        <v>0</v>
      </c>
      <c r="M35" s="235"/>
      <c r="N35" s="21">
        <f t="shared" si="6"/>
        <v>0</v>
      </c>
      <c r="O35" s="232"/>
      <c r="P35" s="101">
        <f t="shared" si="7"/>
        <v>0</v>
      </c>
      <c r="Q35" s="232">
        <v>47</v>
      </c>
      <c r="R35" s="21">
        <f t="shared" si="8"/>
        <v>4.7</v>
      </c>
      <c r="S35" s="232"/>
      <c r="T35" s="21">
        <f t="shared" si="9"/>
        <v>0</v>
      </c>
      <c r="U35" s="232">
        <v>8</v>
      </c>
      <c r="V35" s="21">
        <f t="shared" si="10"/>
        <v>0.8</v>
      </c>
      <c r="W35" s="235"/>
      <c r="X35" s="21">
        <f t="shared" si="11"/>
        <v>0</v>
      </c>
      <c r="Y35" s="94">
        <f t="shared" si="0"/>
        <v>55</v>
      </c>
      <c r="Z35" s="21">
        <f t="shared" si="12"/>
        <v>5.5</v>
      </c>
      <c r="AA35" s="49">
        <f t="shared" si="1"/>
        <v>330</v>
      </c>
      <c r="AB35" s="49"/>
      <c r="AC35" s="20">
        <f>(Y35+завтрак!Y35)/10</f>
        <v>9.9</v>
      </c>
    </row>
    <row r="36" spans="1:29" ht="13.5">
      <c r="A36" s="24">
        <v>34</v>
      </c>
      <c r="B36" s="22" t="str">
        <f>завтрак!B36</f>
        <v>Крупа пшеничная (1 сорт), в инд. уп.</v>
      </c>
      <c r="C36" s="23" t="str">
        <f>завтрак!C36</f>
        <v>кг</v>
      </c>
      <c r="D36" s="106">
        <f>завтрак!D36</f>
        <v>60</v>
      </c>
      <c r="E36" s="232"/>
      <c r="F36" s="21">
        <f t="shared" si="2"/>
        <v>0</v>
      </c>
      <c r="G36" s="232"/>
      <c r="H36" s="21">
        <f t="shared" si="3"/>
        <v>0</v>
      </c>
      <c r="I36" s="232"/>
      <c r="J36" s="21">
        <f t="shared" si="4"/>
        <v>0</v>
      </c>
      <c r="K36" s="232"/>
      <c r="L36" s="21">
        <f t="shared" si="5"/>
        <v>0</v>
      </c>
      <c r="M36" s="235"/>
      <c r="N36" s="21">
        <f t="shared" si="6"/>
        <v>0</v>
      </c>
      <c r="O36" s="232">
        <v>31</v>
      </c>
      <c r="P36" s="101">
        <f t="shared" si="7"/>
        <v>1.86</v>
      </c>
      <c r="Q36" s="232"/>
      <c r="R36" s="21">
        <f t="shared" si="8"/>
        <v>0</v>
      </c>
      <c r="S36" s="232"/>
      <c r="T36" s="21">
        <f t="shared" si="9"/>
        <v>0</v>
      </c>
      <c r="U36" s="232"/>
      <c r="V36" s="21">
        <f t="shared" si="10"/>
        <v>0</v>
      </c>
      <c r="W36" s="235"/>
      <c r="X36" s="21">
        <f t="shared" si="11"/>
        <v>0</v>
      </c>
      <c r="Y36" s="94">
        <f t="shared" si="0"/>
        <v>31</v>
      </c>
      <c r="Z36" s="21">
        <f t="shared" si="12"/>
        <v>1.86</v>
      </c>
      <c r="AA36" s="49">
        <f t="shared" si="1"/>
        <v>186</v>
      </c>
      <c r="AB36" s="49"/>
      <c r="AC36" s="20">
        <f>(Y36+завтрак!Y36)/10</f>
        <v>3.1</v>
      </c>
    </row>
    <row r="37" spans="1:29" ht="13.5">
      <c r="A37" s="24">
        <v>35</v>
      </c>
      <c r="B37" s="22" t="str">
        <f>завтрак!B37</f>
        <v>Пшено (1 сорт), в инд. уп.</v>
      </c>
      <c r="C37" s="23" t="str">
        <f>завтрак!C37</f>
        <v>кг</v>
      </c>
      <c r="D37" s="106">
        <f>завтрак!D37</f>
        <v>59</v>
      </c>
      <c r="E37" s="232"/>
      <c r="F37" s="21">
        <f t="shared" si="2"/>
        <v>0</v>
      </c>
      <c r="G37" s="232">
        <v>47</v>
      </c>
      <c r="H37" s="21">
        <f t="shared" si="3"/>
        <v>2.77</v>
      </c>
      <c r="I37" s="232"/>
      <c r="J37" s="21">
        <f t="shared" si="4"/>
        <v>0</v>
      </c>
      <c r="K37" s="232"/>
      <c r="L37" s="21">
        <f t="shared" si="5"/>
        <v>0</v>
      </c>
      <c r="M37" s="235"/>
      <c r="N37" s="21">
        <f t="shared" si="6"/>
        <v>0</v>
      </c>
      <c r="O37" s="232"/>
      <c r="P37" s="101">
        <f t="shared" si="7"/>
        <v>0</v>
      </c>
      <c r="Q37" s="232"/>
      <c r="R37" s="21">
        <f t="shared" si="8"/>
        <v>0</v>
      </c>
      <c r="S37" s="232"/>
      <c r="T37" s="21">
        <f t="shared" si="9"/>
        <v>0</v>
      </c>
      <c r="U37" s="232"/>
      <c r="V37" s="21">
        <f t="shared" si="10"/>
        <v>0</v>
      </c>
      <c r="W37" s="235"/>
      <c r="X37" s="21">
        <f t="shared" si="11"/>
        <v>0</v>
      </c>
      <c r="Y37" s="94">
        <f t="shared" si="0"/>
        <v>47</v>
      </c>
      <c r="Z37" s="21">
        <f t="shared" si="12"/>
        <v>2.77</v>
      </c>
      <c r="AA37" s="49">
        <f t="shared" si="1"/>
        <v>282</v>
      </c>
      <c r="AB37" s="49"/>
      <c r="AC37" s="20">
        <f>(Y37+завтрак!Y37)/10</f>
        <v>4.7</v>
      </c>
    </row>
    <row r="38" spans="1:29" ht="13.5">
      <c r="A38" s="24">
        <v>36</v>
      </c>
      <c r="B38" s="22" t="str">
        <f>завтрак!B38</f>
        <v>Горох шлифованный, в инд. уп.</v>
      </c>
      <c r="C38" s="23" t="str">
        <f>завтрак!C38</f>
        <v>кг</v>
      </c>
      <c r="D38" s="106">
        <f>завтрак!D38</f>
        <v>61</v>
      </c>
      <c r="E38" s="232"/>
      <c r="F38" s="21">
        <f t="shared" si="2"/>
        <v>0</v>
      </c>
      <c r="G38" s="232"/>
      <c r="H38" s="21">
        <f t="shared" si="3"/>
        <v>0</v>
      </c>
      <c r="I38" s="232"/>
      <c r="J38" s="21">
        <f t="shared" si="4"/>
        <v>0</v>
      </c>
      <c r="K38" s="232">
        <v>23</v>
      </c>
      <c r="L38" s="21">
        <f t="shared" si="5"/>
        <v>1.4</v>
      </c>
      <c r="M38" s="235"/>
      <c r="N38" s="21">
        <f t="shared" si="6"/>
        <v>0</v>
      </c>
      <c r="O38" s="232"/>
      <c r="P38" s="101">
        <f t="shared" si="7"/>
        <v>0</v>
      </c>
      <c r="Q38" s="232"/>
      <c r="R38" s="21">
        <f t="shared" si="8"/>
        <v>0</v>
      </c>
      <c r="S38" s="232">
        <v>11</v>
      </c>
      <c r="T38" s="21">
        <f t="shared" si="9"/>
        <v>0.67</v>
      </c>
      <c r="U38" s="232"/>
      <c r="V38" s="21">
        <f t="shared" si="10"/>
        <v>0</v>
      </c>
      <c r="W38" s="235"/>
      <c r="X38" s="21">
        <f t="shared" si="11"/>
        <v>0</v>
      </c>
      <c r="Y38" s="94">
        <f t="shared" si="0"/>
        <v>34</v>
      </c>
      <c r="Z38" s="21">
        <f t="shared" si="12"/>
        <v>2.07</v>
      </c>
      <c r="AA38" s="49">
        <f t="shared" si="1"/>
        <v>204</v>
      </c>
      <c r="AB38" s="49"/>
      <c r="AC38" s="20">
        <f>(Y38+завтрак!Y38)/10</f>
        <v>3.4</v>
      </c>
    </row>
    <row r="39" spans="1:29" ht="13.5">
      <c r="A39" s="24">
        <v>37</v>
      </c>
      <c r="B39" s="22" t="str">
        <f>завтрак!B39</f>
        <v>Крупа перловая, в инд. уп.</v>
      </c>
      <c r="C39" s="23" t="str">
        <f>завтрак!C39</f>
        <v>кг</v>
      </c>
      <c r="D39" s="106">
        <f>завтрак!D39</f>
        <v>51</v>
      </c>
      <c r="E39" s="232"/>
      <c r="F39" s="21">
        <f t="shared" si="2"/>
        <v>0</v>
      </c>
      <c r="G39" s="232"/>
      <c r="H39" s="21">
        <f t="shared" si="3"/>
        <v>0</v>
      </c>
      <c r="I39" s="232"/>
      <c r="J39" s="21">
        <f t="shared" si="4"/>
        <v>0</v>
      </c>
      <c r="K39" s="232"/>
      <c r="L39" s="21">
        <f t="shared" si="5"/>
        <v>0</v>
      </c>
      <c r="M39" s="235"/>
      <c r="N39" s="21">
        <f t="shared" si="6"/>
        <v>0</v>
      </c>
      <c r="O39" s="232">
        <v>7</v>
      </c>
      <c r="P39" s="101">
        <f t="shared" si="7"/>
        <v>0.36</v>
      </c>
      <c r="Q39" s="232"/>
      <c r="R39" s="21">
        <f t="shared" si="8"/>
        <v>0</v>
      </c>
      <c r="S39" s="232"/>
      <c r="T39" s="21">
        <f t="shared" si="9"/>
        <v>0</v>
      </c>
      <c r="U39" s="232"/>
      <c r="V39" s="21">
        <f t="shared" si="10"/>
        <v>0</v>
      </c>
      <c r="W39" s="235"/>
      <c r="X39" s="21">
        <f t="shared" si="11"/>
        <v>0</v>
      </c>
      <c r="Y39" s="94">
        <f t="shared" si="0"/>
        <v>7</v>
      </c>
      <c r="Z39" s="21">
        <f t="shared" si="12"/>
        <v>0.36</v>
      </c>
      <c r="AA39" s="49">
        <f t="shared" si="1"/>
        <v>42</v>
      </c>
      <c r="AB39" s="49"/>
      <c r="AC39" s="20">
        <f>(Y39+завтрак!Y39)/10</f>
        <v>0.7</v>
      </c>
    </row>
    <row r="40" spans="1:29" ht="13.5">
      <c r="A40" s="24">
        <v>38</v>
      </c>
      <c r="B40" s="22" t="str">
        <f>завтрак!B40</f>
        <v>Крупа ячневая, в инд. уп.</v>
      </c>
      <c r="C40" s="23" t="str">
        <f>завтрак!C40</f>
        <v>кг</v>
      </c>
      <c r="D40" s="106">
        <f>завтрак!D40</f>
        <v>53</v>
      </c>
      <c r="E40" s="232"/>
      <c r="F40" s="21">
        <f t="shared" si="2"/>
        <v>0</v>
      </c>
      <c r="G40" s="232"/>
      <c r="H40" s="21">
        <f t="shared" si="3"/>
        <v>0</v>
      </c>
      <c r="I40" s="232"/>
      <c r="J40" s="21">
        <f t="shared" si="4"/>
        <v>0</v>
      </c>
      <c r="K40" s="232"/>
      <c r="L40" s="21">
        <f t="shared" si="5"/>
        <v>0</v>
      </c>
      <c r="M40" s="235"/>
      <c r="N40" s="21">
        <f t="shared" si="6"/>
        <v>0</v>
      </c>
      <c r="O40" s="232"/>
      <c r="P40" s="101">
        <f t="shared" si="7"/>
        <v>0</v>
      </c>
      <c r="Q40" s="232"/>
      <c r="R40" s="21">
        <f t="shared" si="8"/>
        <v>0</v>
      </c>
      <c r="S40" s="232"/>
      <c r="T40" s="21">
        <f t="shared" si="9"/>
        <v>0</v>
      </c>
      <c r="U40" s="232"/>
      <c r="V40" s="21">
        <f t="shared" si="10"/>
        <v>0</v>
      </c>
      <c r="W40" s="235"/>
      <c r="X40" s="21">
        <f t="shared" si="11"/>
        <v>0</v>
      </c>
      <c r="Y40" s="94">
        <f t="shared" si="0"/>
        <v>0</v>
      </c>
      <c r="Z40" s="21">
        <f t="shared" si="12"/>
        <v>0</v>
      </c>
      <c r="AA40" s="49">
        <f t="shared" si="1"/>
        <v>0</v>
      </c>
      <c r="AB40" s="49"/>
      <c r="AC40" s="20">
        <f>(Y40+завтрак!Y40)/10</f>
        <v>0</v>
      </c>
    </row>
    <row r="41" spans="1:29" ht="13.5">
      <c r="A41" s="24">
        <v>39</v>
      </c>
      <c r="B41" s="22" t="str">
        <f>завтрак!B41</f>
        <v>Хлопья "Геркулес", в инд. уп.</v>
      </c>
      <c r="C41" s="23" t="str">
        <f>завтрак!C41</f>
        <v>кг</v>
      </c>
      <c r="D41" s="106">
        <f>завтрак!D41</f>
        <v>78</v>
      </c>
      <c r="E41" s="232"/>
      <c r="F41" s="21">
        <f t="shared" si="2"/>
        <v>0</v>
      </c>
      <c r="G41" s="232"/>
      <c r="H41" s="21">
        <f t="shared" si="3"/>
        <v>0</v>
      </c>
      <c r="I41" s="232"/>
      <c r="J41" s="21">
        <f t="shared" si="4"/>
        <v>0</v>
      </c>
      <c r="K41" s="232"/>
      <c r="L41" s="21">
        <f t="shared" si="5"/>
        <v>0</v>
      </c>
      <c r="M41" s="235"/>
      <c r="N41" s="21">
        <f t="shared" si="6"/>
        <v>0</v>
      </c>
      <c r="O41" s="232"/>
      <c r="P41" s="101">
        <f t="shared" si="7"/>
        <v>0</v>
      </c>
      <c r="Q41" s="232"/>
      <c r="R41" s="21">
        <f t="shared" si="8"/>
        <v>0</v>
      </c>
      <c r="S41" s="232"/>
      <c r="T41" s="21">
        <f t="shared" si="9"/>
        <v>0</v>
      </c>
      <c r="U41" s="232"/>
      <c r="V41" s="21">
        <f t="shared" si="10"/>
        <v>0</v>
      </c>
      <c r="W41" s="235"/>
      <c r="X41" s="21">
        <f t="shared" si="11"/>
        <v>0</v>
      </c>
      <c r="Y41" s="94">
        <f t="shared" si="0"/>
        <v>0</v>
      </c>
      <c r="Z41" s="21">
        <f t="shared" si="12"/>
        <v>0</v>
      </c>
      <c r="AA41" s="49">
        <f t="shared" si="1"/>
        <v>0</v>
      </c>
      <c r="AB41" s="49"/>
      <c r="AC41" s="20">
        <f>(Y41+завтрак!Y41)/10</f>
        <v>0</v>
      </c>
    </row>
    <row r="42" spans="1:29" ht="13.5">
      <c r="A42" s="24">
        <v>40</v>
      </c>
      <c r="B42" s="22" t="str">
        <f>завтрак!B42</f>
        <v>Сахар-песок, в инд. уп.</v>
      </c>
      <c r="C42" s="23" t="str">
        <f>завтрак!C42</f>
        <v>кг</v>
      </c>
      <c r="D42" s="106">
        <f>завтрак!D42</f>
        <v>94</v>
      </c>
      <c r="E42" s="232">
        <f>1+15</f>
        <v>16</v>
      </c>
      <c r="F42" s="21">
        <f t="shared" si="2"/>
        <v>1.5</v>
      </c>
      <c r="G42" s="232">
        <v>13</v>
      </c>
      <c r="H42" s="21">
        <f t="shared" si="3"/>
        <v>1.22</v>
      </c>
      <c r="I42" s="232">
        <v>13</v>
      </c>
      <c r="J42" s="21">
        <f t="shared" si="4"/>
        <v>1.22</v>
      </c>
      <c r="K42" s="232">
        <v>13</v>
      </c>
      <c r="L42" s="21">
        <f t="shared" si="5"/>
        <v>1.22</v>
      </c>
      <c r="M42" s="235">
        <v>13</v>
      </c>
      <c r="N42" s="21">
        <f t="shared" si="6"/>
        <v>1.22</v>
      </c>
      <c r="O42" s="232">
        <v>13</v>
      </c>
      <c r="P42" s="101">
        <f t="shared" si="7"/>
        <v>1.22</v>
      </c>
      <c r="Q42" s="232">
        <v>13</v>
      </c>
      <c r="R42" s="21">
        <f t="shared" si="8"/>
        <v>1.22</v>
      </c>
      <c r="S42" s="232">
        <v>12</v>
      </c>
      <c r="T42" s="21">
        <f t="shared" si="9"/>
        <v>1.13</v>
      </c>
      <c r="U42" s="232">
        <v>10</v>
      </c>
      <c r="V42" s="21">
        <f t="shared" si="10"/>
        <v>0.94</v>
      </c>
      <c r="W42" s="235">
        <v>12</v>
      </c>
      <c r="X42" s="21">
        <f t="shared" si="11"/>
        <v>1.13</v>
      </c>
      <c r="Y42" s="94">
        <f t="shared" si="0"/>
        <v>128</v>
      </c>
      <c r="Z42" s="21">
        <f t="shared" si="12"/>
        <v>12.03</v>
      </c>
      <c r="AA42" s="49">
        <f t="shared" si="1"/>
        <v>768</v>
      </c>
      <c r="AB42" s="49"/>
      <c r="AC42" s="20">
        <f>(Y42+завтрак!Y42)/10</f>
        <v>27.3</v>
      </c>
    </row>
    <row r="43" spans="1:29" ht="13.5">
      <c r="A43" s="24">
        <v>41</v>
      </c>
      <c r="B43" s="22" t="str">
        <f>завтрак!B43</f>
        <v>Макароны (высший сорт), в инд. уп.</v>
      </c>
      <c r="C43" s="23" t="str">
        <f>завтрак!C43</f>
        <v>кг</v>
      </c>
      <c r="D43" s="106">
        <f>завтрак!D43</f>
        <v>65</v>
      </c>
      <c r="E43" s="232"/>
      <c r="F43" s="21">
        <f t="shared" si="2"/>
        <v>0</v>
      </c>
      <c r="G43" s="232"/>
      <c r="H43" s="21">
        <f t="shared" si="3"/>
        <v>0</v>
      </c>
      <c r="I43" s="232"/>
      <c r="J43" s="21">
        <f t="shared" si="4"/>
        <v>0</v>
      </c>
      <c r="K43" s="232"/>
      <c r="L43" s="21">
        <f t="shared" si="5"/>
        <v>0</v>
      </c>
      <c r="M43" s="235"/>
      <c r="N43" s="21">
        <f t="shared" si="6"/>
        <v>0</v>
      </c>
      <c r="O43" s="232"/>
      <c r="P43" s="101">
        <f t="shared" si="7"/>
        <v>0</v>
      </c>
      <c r="Q43" s="232"/>
      <c r="R43" s="21">
        <f t="shared" si="8"/>
        <v>0</v>
      </c>
      <c r="S43" s="232"/>
      <c r="T43" s="21">
        <f t="shared" si="9"/>
        <v>0</v>
      </c>
      <c r="U43" s="232"/>
      <c r="V43" s="21">
        <f t="shared" si="10"/>
        <v>0</v>
      </c>
      <c r="W43" s="235">
        <v>45</v>
      </c>
      <c r="X43" s="21">
        <f t="shared" si="11"/>
        <v>2.93</v>
      </c>
      <c r="Y43" s="94">
        <f t="shared" si="0"/>
        <v>45</v>
      </c>
      <c r="Z43" s="21">
        <f t="shared" si="12"/>
        <v>2.93</v>
      </c>
      <c r="AA43" s="49">
        <f t="shared" si="1"/>
        <v>270</v>
      </c>
      <c r="AB43" s="49"/>
      <c r="AC43" s="20">
        <f>(Y43+завтрак!Y43)/10</f>
        <v>9.1</v>
      </c>
    </row>
    <row r="44" spans="1:29" ht="15" customHeight="1">
      <c r="A44" s="24">
        <v>42</v>
      </c>
      <c r="B44" s="22" t="str">
        <f>завтрак!B44</f>
        <v>Вермишель (высший сорт), в инд. уп.</v>
      </c>
      <c r="C44" s="23" t="str">
        <f>завтрак!C44</f>
        <v>кг</v>
      </c>
      <c r="D44" s="106">
        <f>завтрак!D44</f>
        <v>67</v>
      </c>
      <c r="E44" s="232"/>
      <c r="F44" s="21">
        <f t="shared" si="2"/>
        <v>0</v>
      </c>
      <c r="G44" s="232">
        <v>8</v>
      </c>
      <c r="H44" s="21">
        <f t="shared" si="3"/>
        <v>0.54</v>
      </c>
      <c r="I44" s="232"/>
      <c r="J44" s="21">
        <f t="shared" si="4"/>
        <v>0</v>
      </c>
      <c r="K44" s="232"/>
      <c r="L44" s="21">
        <f t="shared" si="5"/>
        <v>0</v>
      </c>
      <c r="M44" s="235"/>
      <c r="N44" s="21">
        <f t="shared" si="6"/>
        <v>0</v>
      </c>
      <c r="O44" s="232"/>
      <c r="P44" s="101">
        <f t="shared" si="7"/>
        <v>0</v>
      </c>
      <c r="Q44" s="232">
        <v>9</v>
      </c>
      <c r="R44" s="21">
        <f t="shared" si="8"/>
        <v>0.6</v>
      </c>
      <c r="S44" s="232"/>
      <c r="T44" s="21">
        <f t="shared" si="9"/>
        <v>0</v>
      </c>
      <c r="U44" s="232"/>
      <c r="V44" s="21">
        <f t="shared" si="10"/>
        <v>0</v>
      </c>
      <c r="W44" s="235"/>
      <c r="X44" s="21">
        <f t="shared" si="11"/>
        <v>0</v>
      </c>
      <c r="Y44" s="94">
        <f t="shared" si="0"/>
        <v>17</v>
      </c>
      <c r="Z44" s="21">
        <f t="shared" si="12"/>
        <v>1.14</v>
      </c>
      <c r="AA44" s="49">
        <f t="shared" si="1"/>
        <v>102</v>
      </c>
      <c r="AB44" s="49"/>
      <c r="AC44" s="20">
        <f>(Y44+завтрак!Y44)/10</f>
        <v>1.7</v>
      </c>
    </row>
    <row r="45" spans="1:29" ht="13.5">
      <c r="A45" s="24">
        <v>43</v>
      </c>
      <c r="B45" s="22" t="str">
        <f>завтрак!B45</f>
        <v>Дрожжи сухие</v>
      </c>
      <c r="C45" s="23" t="str">
        <f>завтрак!C45</f>
        <v>кг</v>
      </c>
      <c r="D45" s="106">
        <f>завтрак!D45</f>
        <v>346</v>
      </c>
      <c r="E45" s="232"/>
      <c r="F45" s="21">
        <f t="shared" si="2"/>
        <v>0</v>
      </c>
      <c r="G45" s="232"/>
      <c r="H45" s="21">
        <f t="shared" si="3"/>
        <v>0</v>
      </c>
      <c r="I45" s="232"/>
      <c r="J45" s="21">
        <f t="shared" si="4"/>
        <v>0</v>
      </c>
      <c r="K45" s="232"/>
      <c r="L45" s="21">
        <f t="shared" si="5"/>
        <v>0</v>
      </c>
      <c r="M45" s="235"/>
      <c r="N45" s="21">
        <f t="shared" si="6"/>
        <v>0</v>
      </c>
      <c r="O45" s="232"/>
      <c r="P45" s="101">
        <f t="shared" si="7"/>
        <v>0</v>
      </c>
      <c r="Q45" s="232"/>
      <c r="R45" s="21">
        <f t="shared" si="8"/>
        <v>0</v>
      </c>
      <c r="S45" s="232"/>
      <c r="T45" s="21">
        <f t="shared" si="9"/>
        <v>0</v>
      </c>
      <c r="U45" s="232"/>
      <c r="V45" s="21">
        <f t="shared" si="10"/>
        <v>0</v>
      </c>
      <c r="W45" s="235"/>
      <c r="X45" s="21">
        <f t="shared" si="11"/>
        <v>0</v>
      </c>
      <c r="Y45" s="94">
        <f t="shared" si="0"/>
        <v>0</v>
      </c>
      <c r="Z45" s="21">
        <f t="shared" si="12"/>
        <v>0</v>
      </c>
      <c r="AA45" s="49">
        <f t="shared" si="1"/>
        <v>0</v>
      </c>
      <c r="AB45" s="49"/>
      <c r="AC45" s="20">
        <f>(Y45+завтрак!Y45)/10</f>
        <v>0.4</v>
      </c>
    </row>
    <row r="46" spans="1:29" ht="13.5">
      <c r="A46" s="24">
        <v>44</v>
      </c>
      <c r="B46" s="22" t="str">
        <f>завтрак!B46</f>
        <v>Соль йодированная</v>
      </c>
      <c r="C46" s="23" t="str">
        <f>завтрак!C46</f>
        <v>кг</v>
      </c>
      <c r="D46" s="106">
        <f>завтрак!D46</f>
        <v>23</v>
      </c>
      <c r="E46" s="232">
        <v>2</v>
      </c>
      <c r="F46" s="21">
        <f t="shared" si="2"/>
        <v>0.05</v>
      </c>
      <c r="G46" s="232">
        <v>3.5</v>
      </c>
      <c r="H46" s="21">
        <f t="shared" si="3"/>
        <v>0.08</v>
      </c>
      <c r="I46" s="232">
        <v>4</v>
      </c>
      <c r="J46" s="21">
        <f t="shared" si="4"/>
        <v>0.09</v>
      </c>
      <c r="K46" s="232">
        <v>2.5</v>
      </c>
      <c r="L46" s="21">
        <f t="shared" si="5"/>
        <v>0.06</v>
      </c>
      <c r="M46" s="235">
        <v>2.5</v>
      </c>
      <c r="N46" s="21">
        <f t="shared" si="6"/>
        <v>0.06</v>
      </c>
      <c r="O46" s="232">
        <v>3</v>
      </c>
      <c r="P46" s="101">
        <f t="shared" si="7"/>
        <v>0.07</v>
      </c>
      <c r="Q46" s="232">
        <v>4</v>
      </c>
      <c r="R46" s="21">
        <f t="shared" si="8"/>
        <v>0.09</v>
      </c>
      <c r="S46" s="232">
        <v>2.5</v>
      </c>
      <c r="T46" s="21">
        <f t="shared" si="9"/>
        <v>0.06</v>
      </c>
      <c r="U46" s="232">
        <v>4.5</v>
      </c>
      <c r="V46" s="21">
        <f t="shared" si="10"/>
        <v>0.1</v>
      </c>
      <c r="W46" s="235">
        <v>1</v>
      </c>
      <c r="X46" s="21">
        <f t="shared" si="11"/>
        <v>0.02</v>
      </c>
      <c r="Y46" s="94">
        <f t="shared" si="0"/>
        <v>29.5</v>
      </c>
      <c r="Z46" s="21">
        <f t="shared" si="12"/>
        <v>0.68</v>
      </c>
      <c r="AA46" s="49">
        <f t="shared" si="1"/>
        <v>177</v>
      </c>
      <c r="AB46" s="49"/>
      <c r="AC46" s="20">
        <f>(Y46+завтрак!Y46)/10</f>
        <v>6.15</v>
      </c>
    </row>
    <row r="47" spans="1:29" ht="13.5">
      <c r="A47" s="24">
        <v>45</v>
      </c>
      <c r="B47" s="22" t="str">
        <f>завтрак!B47</f>
        <v>Кисель фруктовый (концентрат)</v>
      </c>
      <c r="C47" s="23" t="str">
        <f>завтрак!C47</f>
        <v>кг</v>
      </c>
      <c r="D47" s="106">
        <f>завтрак!D47</f>
        <v>212</v>
      </c>
      <c r="E47" s="232"/>
      <c r="F47" s="21">
        <f t="shared" si="2"/>
        <v>0</v>
      </c>
      <c r="G47" s="232"/>
      <c r="H47" s="21">
        <f t="shared" si="3"/>
        <v>0</v>
      </c>
      <c r="I47" s="232"/>
      <c r="J47" s="21">
        <f t="shared" si="4"/>
        <v>0</v>
      </c>
      <c r="K47" s="232"/>
      <c r="L47" s="21">
        <f t="shared" si="5"/>
        <v>0</v>
      </c>
      <c r="M47" s="235"/>
      <c r="N47" s="21">
        <f t="shared" si="6"/>
        <v>0</v>
      </c>
      <c r="O47" s="232"/>
      <c r="P47" s="101">
        <f t="shared" si="7"/>
        <v>0</v>
      </c>
      <c r="Q47" s="232"/>
      <c r="R47" s="21">
        <f t="shared" si="8"/>
        <v>0</v>
      </c>
      <c r="S47" s="232"/>
      <c r="T47" s="21">
        <f t="shared" si="9"/>
        <v>0</v>
      </c>
      <c r="U47" s="232">
        <v>18</v>
      </c>
      <c r="V47" s="21">
        <f t="shared" si="10"/>
        <v>3.82</v>
      </c>
      <c r="W47" s="235"/>
      <c r="X47" s="21">
        <f t="shared" si="11"/>
        <v>0</v>
      </c>
      <c r="Y47" s="94">
        <f t="shared" si="0"/>
        <v>18</v>
      </c>
      <c r="Z47" s="21">
        <f t="shared" si="12"/>
        <v>3.82</v>
      </c>
      <c r="AA47" s="49">
        <f t="shared" si="1"/>
        <v>108</v>
      </c>
      <c r="AB47" s="49"/>
      <c r="AC47" s="20">
        <f>(Y47+завтрак!Y47)/10</f>
        <v>1.8</v>
      </c>
    </row>
    <row r="48" spans="1:29" ht="13.5">
      <c r="A48" s="24">
        <v>46</v>
      </c>
      <c r="B48" s="22" t="str">
        <f>завтрак!B48</f>
        <v>Кофейный напиток (ячменный)</v>
      </c>
      <c r="C48" s="23" t="str">
        <f>завтрак!C48</f>
        <v>кг</v>
      </c>
      <c r="D48" s="106">
        <f>завтрак!D48</f>
        <v>501</v>
      </c>
      <c r="E48" s="232"/>
      <c r="F48" s="21">
        <f t="shared" si="2"/>
        <v>0</v>
      </c>
      <c r="G48" s="232"/>
      <c r="H48" s="21">
        <f t="shared" si="3"/>
        <v>0</v>
      </c>
      <c r="I48" s="232"/>
      <c r="J48" s="21">
        <f t="shared" si="4"/>
        <v>0</v>
      </c>
      <c r="K48" s="232"/>
      <c r="L48" s="21">
        <f t="shared" si="5"/>
        <v>0</v>
      </c>
      <c r="M48" s="235"/>
      <c r="N48" s="21">
        <f t="shared" si="6"/>
        <v>0</v>
      </c>
      <c r="O48" s="232"/>
      <c r="P48" s="101">
        <f t="shared" si="7"/>
        <v>0</v>
      </c>
      <c r="Q48" s="232"/>
      <c r="R48" s="21">
        <f t="shared" si="8"/>
        <v>0</v>
      </c>
      <c r="S48" s="232"/>
      <c r="T48" s="21">
        <f t="shared" si="9"/>
        <v>0</v>
      </c>
      <c r="U48" s="232"/>
      <c r="V48" s="21">
        <f t="shared" si="10"/>
        <v>0</v>
      </c>
      <c r="W48" s="235"/>
      <c r="X48" s="21">
        <f t="shared" si="11"/>
        <v>0</v>
      </c>
      <c r="Y48" s="94">
        <f t="shared" si="0"/>
        <v>0</v>
      </c>
      <c r="Z48" s="21">
        <f t="shared" si="12"/>
        <v>0</v>
      </c>
      <c r="AA48" s="49">
        <f t="shared" si="1"/>
        <v>0</v>
      </c>
      <c r="AB48" s="49"/>
      <c r="AC48" s="20">
        <f>(Y48+завтрак!Y48)/10</f>
        <v>0.9</v>
      </c>
    </row>
    <row r="49" spans="1:29" ht="13.5">
      <c r="A49" s="24">
        <v>47</v>
      </c>
      <c r="B49" s="22" t="str">
        <f>завтрак!B49</f>
        <v>Какао порошок</v>
      </c>
      <c r="C49" s="23" t="str">
        <f>завтрак!C49</f>
        <v>кг</v>
      </c>
      <c r="D49" s="106">
        <f>завтрак!D49</f>
        <v>409</v>
      </c>
      <c r="E49" s="232"/>
      <c r="F49" s="21">
        <f t="shared" si="2"/>
        <v>0</v>
      </c>
      <c r="G49" s="232"/>
      <c r="H49" s="21">
        <f t="shared" si="3"/>
        <v>0</v>
      </c>
      <c r="I49" s="232"/>
      <c r="J49" s="21">
        <f t="shared" si="4"/>
        <v>0</v>
      </c>
      <c r="K49" s="232"/>
      <c r="L49" s="21">
        <f t="shared" si="5"/>
        <v>0</v>
      </c>
      <c r="M49" s="235"/>
      <c r="N49" s="21">
        <f t="shared" si="6"/>
        <v>0</v>
      </c>
      <c r="O49" s="232"/>
      <c r="P49" s="101">
        <f t="shared" si="7"/>
        <v>0</v>
      </c>
      <c r="Q49" s="232"/>
      <c r="R49" s="21">
        <f t="shared" si="8"/>
        <v>0</v>
      </c>
      <c r="S49" s="232"/>
      <c r="T49" s="21">
        <f t="shared" si="9"/>
        <v>0</v>
      </c>
      <c r="U49" s="232"/>
      <c r="V49" s="21">
        <f t="shared" si="10"/>
        <v>0</v>
      </c>
      <c r="W49" s="235"/>
      <c r="X49" s="21">
        <f t="shared" si="11"/>
        <v>0</v>
      </c>
      <c r="Y49" s="94">
        <f t="shared" si="0"/>
        <v>0</v>
      </c>
      <c r="Z49" s="21">
        <f t="shared" si="12"/>
        <v>0</v>
      </c>
      <c r="AA49" s="49">
        <f t="shared" si="1"/>
        <v>0</v>
      </c>
      <c r="AB49" s="49"/>
      <c r="AC49" s="20">
        <f>(Y49+завтрак!Y49)/10</f>
        <v>0.6</v>
      </c>
    </row>
    <row r="50" spans="1:29" ht="13.5">
      <c r="A50" s="24">
        <v>48</v>
      </c>
      <c r="B50" s="22" t="str">
        <f>завтрак!B50</f>
        <v>Чай черный (1 сорт)</v>
      </c>
      <c r="C50" s="23" t="str">
        <f>завтрак!C50</f>
        <v>кг</v>
      </c>
      <c r="D50" s="106">
        <f>завтрак!D50</f>
        <v>514</v>
      </c>
      <c r="E50" s="232"/>
      <c r="F50" s="21">
        <f t="shared" si="2"/>
        <v>0</v>
      </c>
      <c r="G50" s="232"/>
      <c r="H50" s="21">
        <f t="shared" si="3"/>
        <v>0</v>
      </c>
      <c r="I50" s="232"/>
      <c r="J50" s="21">
        <f t="shared" si="4"/>
        <v>0</v>
      </c>
      <c r="K50" s="232"/>
      <c r="L50" s="21">
        <f t="shared" si="5"/>
        <v>0</v>
      </c>
      <c r="M50" s="235"/>
      <c r="N50" s="21">
        <f t="shared" si="6"/>
        <v>0</v>
      </c>
      <c r="O50" s="232"/>
      <c r="P50" s="101">
        <f t="shared" si="7"/>
        <v>0</v>
      </c>
      <c r="Q50" s="232"/>
      <c r="R50" s="21">
        <f t="shared" si="8"/>
        <v>0</v>
      </c>
      <c r="S50" s="232"/>
      <c r="T50" s="21">
        <f t="shared" si="9"/>
        <v>0</v>
      </c>
      <c r="U50" s="232"/>
      <c r="V50" s="21">
        <f t="shared" si="10"/>
        <v>0</v>
      </c>
      <c r="W50" s="235"/>
      <c r="X50" s="21">
        <f t="shared" si="11"/>
        <v>0</v>
      </c>
      <c r="Y50" s="94">
        <f t="shared" si="0"/>
        <v>0</v>
      </c>
      <c r="Z50" s="21">
        <f t="shared" si="12"/>
        <v>0</v>
      </c>
      <c r="AA50" s="49">
        <f t="shared" si="1"/>
        <v>0</v>
      </c>
      <c r="AB50" s="49"/>
      <c r="AC50" s="20">
        <f>(Y50+завтрак!Y50)/10</f>
        <v>0.48</v>
      </c>
    </row>
    <row r="51" spans="1:29" ht="13.5">
      <c r="A51" s="24">
        <v>49</v>
      </c>
      <c r="B51" s="22" t="str">
        <f>завтрак!B51</f>
        <v>Лавровый лист</v>
      </c>
      <c r="C51" s="23" t="str">
        <f>завтрак!C51</f>
        <v>кг</v>
      </c>
      <c r="D51" s="106">
        <f>завтрак!D51</f>
        <v>508</v>
      </c>
      <c r="E51" s="232">
        <v>0.02</v>
      </c>
      <c r="F51" s="21">
        <f t="shared" si="2"/>
        <v>0.01</v>
      </c>
      <c r="G51" s="232">
        <v>0.02</v>
      </c>
      <c r="H51" s="21">
        <f t="shared" si="3"/>
        <v>0.01</v>
      </c>
      <c r="I51" s="232">
        <v>0.02</v>
      </c>
      <c r="J51" s="21">
        <f t="shared" si="4"/>
        <v>0.01</v>
      </c>
      <c r="K51" s="232">
        <v>0.02</v>
      </c>
      <c r="L51" s="21">
        <f t="shared" si="5"/>
        <v>0.01</v>
      </c>
      <c r="M51" s="235">
        <v>0.02</v>
      </c>
      <c r="N51" s="21">
        <f t="shared" si="6"/>
        <v>0.01</v>
      </c>
      <c r="O51" s="232">
        <v>0.02</v>
      </c>
      <c r="P51" s="101">
        <f t="shared" si="7"/>
        <v>0.01</v>
      </c>
      <c r="Q51" s="232">
        <v>0.02</v>
      </c>
      <c r="R51" s="21">
        <f t="shared" si="8"/>
        <v>0.01</v>
      </c>
      <c r="S51" s="232">
        <v>0.02</v>
      </c>
      <c r="T51" s="21">
        <f t="shared" si="9"/>
        <v>0.01</v>
      </c>
      <c r="U51" s="232">
        <v>0.02</v>
      </c>
      <c r="V51" s="21">
        <f t="shared" si="10"/>
        <v>0.01</v>
      </c>
      <c r="W51" s="235">
        <v>0.02</v>
      </c>
      <c r="X51" s="21">
        <f t="shared" si="11"/>
        <v>0.01</v>
      </c>
      <c r="Y51" s="94">
        <f t="shared" si="0"/>
        <v>0.2</v>
      </c>
      <c r="Z51" s="21">
        <f t="shared" si="12"/>
        <v>0.1</v>
      </c>
      <c r="AA51" s="49">
        <f t="shared" si="1"/>
        <v>1.2</v>
      </c>
      <c r="AB51" s="49"/>
      <c r="AC51" s="20">
        <f>(Y51+завтрак!Y51)/10</f>
        <v>0.02</v>
      </c>
    </row>
    <row r="52" spans="1:29" ht="13.5">
      <c r="A52" s="24">
        <v>50</v>
      </c>
      <c r="B52" s="22" t="str">
        <f>завтрак!B52</f>
        <v>Хлеб "Городской новый"</v>
      </c>
      <c r="C52" s="23" t="str">
        <f>завтрак!C52</f>
        <v>кг</v>
      </c>
      <c r="D52" s="106">
        <f>завтрак!D52</f>
        <v>48</v>
      </c>
      <c r="E52" s="232">
        <v>50</v>
      </c>
      <c r="F52" s="21">
        <f t="shared" si="2"/>
        <v>2.4</v>
      </c>
      <c r="G52" s="232">
        <f>11+11+50</f>
        <v>72</v>
      </c>
      <c r="H52" s="21">
        <f t="shared" si="3"/>
        <v>3.46</v>
      </c>
      <c r="I52" s="232">
        <v>40</v>
      </c>
      <c r="J52" s="21">
        <f t="shared" si="4"/>
        <v>1.92</v>
      </c>
      <c r="K52" s="232">
        <v>50</v>
      </c>
      <c r="L52" s="21">
        <f t="shared" si="5"/>
        <v>2.4</v>
      </c>
      <c r="M52" s="235">
        <v>50</v>
      </c>
      <c r="N52" s="21">
        <f t="shared" si="6"/>
        <v>2.4</v>
      </c>
      <c r="O52" s="232">
        <v>50</v>
      </c>
      <c r="P52" s="101">
        <f t="shared" si="7"/>
        <v>2.4</v>
      </c>
      <c r="Q52" s="232">
        <v>60</v>
      </c>
      <c r="R52" s="21">
        <f t="shared" si="8"/>
        <v>2.88</v>
      </c>
      <c r="S52" s="232">
        <v>50</v>
      </c>
      <c r="T52" s="21">
        <f t="shared" si="9"/>
        <v>2.4</v>
      </c>
      <c r="U52" s="232">
        <v>50</v>
      </c>
      <c r="V52" s="21">
        <f t="shared" si="10"/>
        <v>2.4</v>
      </c>
      <c r="W52" s="235">
        <f>11+11+40</f>
        <v>62</v>
      </c>
      <c r="X52" s="21">
        <f t="shared" si="11"/>
        <v>2.98</v>
      </c>
      <c r="Y52" s="94">
        <f t="shared" si="0"/>
        <v>534</v>
      </c>
      <c r="Z52" s="21">
        <f t="shared" si="12"/>
        <v>25.63</v>
      </c>
      <c r="AA52" s="49">
        <f t="shared" si="1"/>
        <v>3204</v>
      </c>
      <c r="AB52" s="49"/>
      <c r="AC52" s="20">
        <f>(Y52+завтрак!Y52)/10</f>
        <v>96.1</v>
      </c>
    </row>
    <row r="53" spans="1:29" ht="13.5">
      <c r="A53" s="24">
        <v>51</v>
      </c>
      <c r="B53" s="22">
        <f>завтрак!B53</f>
        <v>0</v>
      </c>
      <c r="C53" s="23">
        <f>завтрак!C53</f>
        <v>0</v>
      </c>
      <c r="D53" s="106">
        <f>завтрак!D53</f>
        <v>0</v>
      </c>
      <c r="E53" s="232"/>
      <c r="F53" s="21">
        <f t="shared" si="2"/>
        <v>0</v>
      </c>
      <c r="G53" s="232"/>
      <c r="H53" s="21">
        <f t="shared" si="3"/>
        <v>0</v>
      </c>
      <c r="I53" s="232"/>
      <c r="J53" s="21">
        <f t="shared" si="4"/>
        <v>0</v>
      </c>
      <c r="K53" s="232"/>
      <c r="L53" s="21">
        <f t="shared" si="5"/>
        <v>0</v>
      </c>
      <c r="M53" s="235"/>
      <c r="N53" s="21">
        <f t="shared" si="6"/>
        <v>0</v>
      </c>
      <c r="O53" s="232"/>
      <c r="P53" s="101">
        <f t="shared" si="7"/>
        <v>0</v>
      </c>
      <c r="Q53" s="232"/>
      <c r="R53" s="21">
        <f t="shared" si="8"/>
        <v>0</v>
      </c>
      <c r="S53" s="232"/>
      <c r="T53" s="21">
        <f t="shared" si="9"/>
        <v>0</v>
      </c>
      <c r="U53" s="232"/>
      <c r="V53" s="21">
        <f t="shared" si="10"/>
        <v>0</v>
      </c>
      <c r="W53" s="235"/>
      <c r="X53" s="21">
        <f t="shared" si="11"/>
        <v>0</v>
      </c>
      <c r="Y53" s="94">
        <f t="shared" si="0"/>
        <v>0</v>
      </c>
      <c r="Z53" s="21">
        <f t="shared" si="12"/>
        <v>0</v>
      </c>
      <c r="AA53" s="49">
        <f t="shared" si="1"/>
        <v>0</v>
      </c>
      <c r="AB53" s="49"/>
      <c r="AC53" s="20">
        <f>(Y53+завтрак!Y53)/10</f>
        <v>0</v>
      </c>
    </row>
    <row r="54" spans="1:29" ht="13.5">
      <c r="A54" s="24">
        <v>52</v>
      </c>
      <c r="B54" s="22" t="str">
        <f>завтрак!B54</f>
        <v>Печенье в ассортименте</v>
      </c>
      <c r="C54" s="23" t="str">
        <f>завтрак!C54</f>
        <v>кг</v>
      </c>
      <c r="D54" s="106">
        <f>завтрак!D54</f>
        <v>159</v>
      </c>
      <c r="E54" s="232"/>
      <c r="F54" s="21">
        <f t="shared" si="2"/>
        <v>0</v>
      </c>
      <c r="G54" s="232"/>
      <c r="H54" s="21">
        <f t="shared" si="3"/>
        <v>0</v>
      </c>
      <c r="I54" s="232"/>
      <c r="J54" s="21">
        <f t="shared" si="4"/>
        <v>0</v>
      </c>
      <c r="K54" s="232">
        <v>50</v>
      </c>
      <c r="L54" s="21">
        <f t="shared" si="5"/>
        <v>7.95</v>
      </c>
      <c r="M54" s="235"/>
      <c r="N54" s="21">
        <f t="shared" si="6"/>
        <v>0</v>
      </c>
      <c r="O54" s="232"/>
      <c r="P54" s="101">
        <f t="shared" si="7"/>
        <v>0</v>
      </c>
      <c r="Q54" s="232"/>
      <c r="R54" s="21">
        <f t="shared" si="8"/>
        <v>0</v>
      </c>
      <c r="S54" s="232"/>
      <c r="T54" s="21">
        <f t="shared" si="9"/>
        <v>0</v>
      </c>
      <c r="U54" s="232"/>
      <c r="V54" s="21">
        <f t="shared" si="10"/>
        <v>0</v>
      </c>
      <c r="W54" s="235"/>
      <c r="X54" s="21">
        <f t="shared" si="11"/>
        <v>0</v>
      </c>
      <c r="Y54" s="94">
        <f t="shared" si="0"/>
        <v>50</v>
      </c>
      <c r="Z54" s="21">
        <f t="shared" si="12"/>
        <v>7.95</v>
      </c>
      <c r="AA54" s="49">
        <f t="shared" si="1"/>
        <v>300</v>
      </c>
      <c r="AB54" s="49"/>
      <c r="AC54" s="20">
        <f>(Y54+завтрак!Y54)/10</f>
        <v>7.5</v>
      </c>
    </row>
    <row r="55" spans="1:29" ht="13.5">
      <c r="A55" s="24">
        <v>53</v>
      </c>
      <c r="B55" s="22">
        <f>завтрак!B55</f>
        <v>0</v>
      </c>
      <c r="C55" s="23">
        <f>завтрак!C55</f>
        <v>0</v>
      </c>
      <c r="D55" s="106">
        <f>завтрак!D55</f>
        <v>0</v>
      </c>
      <c r="E55" s="232"/>
      <c r="F55" s="21">
        <f t="shared" si="2"/>
        <v>0</v>
      </c>
      <c r="G55" s="232"/>
      <c r="H55" s="21">
        <f t="shared" si="3"/>
        <v>0</v>
      </c>
      <c r="I55" s="232"/>
      <c r="J55" s="21">
        <f t="shared" si="4"/>
        <v>0</v>
      </c>
      <c r="K55" s="232"/>
      <c r="L55" s="21">
        <f t="shared" si="5"/>
        <v>0</v>
      </c>
      <c r="M55" s="235"/>
      <c r="N55" s="21">
        <f t="shared" si="6"/>
        <v>0</v>
      </c>
      <c r="O55" s="232"/>
      <c r="P55" s="101">
        <f t="shared" si="7"/>
        <v>0</v>
      </c>
      <c r="Q55" s="232"/>
      <c r="R55" s="21">
        <f t="shared" si="8"/>
        <v>0</v>
      </c>
      <c r="S55" s="232"/>
      <c r="T55" s="21">
        <f t="shared" si="9"/>
        <v>0</v>
      </c>
      <c r="U55" s="232"/>
      <c r="V55" s="21">
        <f t="shared" si="10"/>
        <v>0</v>
      </c>
      <c r="W55" s="235"/>
      <c r="X55" s="21">
        <f t="shared" si="11"/>
        <v>0</v>
      </c>
      <c r="Y55" s="94">
        <f t="shared" si="0"/>
        <v>0</v>
      </c>
      <c r="Z55" s="21">
        <f t="shared" si="12"/>
        <v>0</v>
      </c>
      <c r="AA55" s="49">
        <f t="shared" si="1"/>
        <v>0</v>
      </c>
      <c r="AB55" s="49"/>
      <c r="AC55" s="20">
        <f>(Y55+завтрак!Y55)/10</f>
        <v>0</v>
      </c>
    </row>
    <row r="56" spans="1:29" ht="13.5">
      <c r="A56" s="24">
        <v>54</v>
      </c>
      <c r="B56" s="22" t="str">
        <f>завтрак!B56</f>
        <v>Пряник </v>
      </c>
      <c r="C56" s="23" t="str">
        <f>завтрак!C56</f>
        <v>кг</v>
      </c>
      <c r="D56" s="106">
        <f>завтрак!D56</f>
        <v>179</v>
      </c>
      <c r="E56" s="232"/>
      <c r="F56" s="21">
        <f t="shared" si="2"/>
        <v>0</v>
      </c>
      <c r="G56" s="232"/>
      <c r="H56" s="21">
        <f t="shared" si="3"/>
        <v>0</v>
      </c>
      <c r="I56" s="232"/>
      <c r="J56" s="21">
        <f t="shared" si="4"/>
        <v>0</v>
      </c>
      <c r="K56" s="232"/>
      <c r="L56" s="21">
        <f t="shared" si="5"/>
        <v>0</v>
      </c>
      <c r="M56" s="235"/>
      <c r="N56" s="21">
        <f t="shared" si="6"/>
        <v>0</v>
      </c>
      <c r="O56" s="232"/>
      <c r="P56" s="101">
        <f t="shared" si="7"/>
        <v>0</v>
      </c>
      <c r="Q56" s="232"/>
      <c r="R56" s="21">
        <f t="shared" si="8"/>
        <v>0</v>
      </c>
      <c r="S56" s="232"/>
      <c r="T56" s="21">
        <f t="shared" si="9"/>
        <v>0</v>
      </c>
      <c r="U56" s="232"/>
      <c r="V56" s="21">
        <f t="shared" si="10"/>
        <v>0</v>
      </c>
      <c r="W56" s="235"/>
      <c r="X56" s="21">
        <f t="shared" si="11"/>
        <v>0</v>
      </c>
      <c r="Y56" s="94">
        <f t="shared" si="0"/>
        <v>0</v>
      </c>
      <c r="Z56" s="21">
        <f t="shared" si="12"/>
        <v>0</v>
      </c>
      <c r="AA56" s="49">
        <f t="shared" si="1"/>
        <v>0</v>
      </c>
      <c r="AB56" s="49"/>
      <c r="AC56" s="20">
        <f>(Y56+завтрак!Y56)/10</f>
        <v>0</v>
      </c>
    </row>
    <row r="57" spans="1:28" ht="15">
      <c r="A57" s="25"/>
      <c r="B57" s="26" t="s">
        <v>50</v>
      </c>
      <c r="C57" s="23"/>
      <c r="D57" s="107"/>
      <c r="E57" s="232"/>
      <c r="F57" s="63">
        <f>SUM(F3:F56)</f>
        <v>65.07</v>
      </c>
      <c r="G57" s="232"/>
      <c r="H57" s="63">
        <f>SUM(H3:H56)</f>
        <v>65.07</v>
      </c>
      <c r="I57" s="232"/>
      <c r="J57" s="63">
        <f>SUM(J3:J56)</f>
        <v>65.07</v>
      </c>
      <c r="K57" s="232"/>
      <c r="L57" s="63">
        <f>SUM(L3:L56)</f>
        <v>65.07</v>
      </c>
      <c r="M57" s="235"/>
      <c r="N57" s="63">
        <f>SUM(N3:N56)</f>
        <v>65.07</v>
      </c>
      <c r="O57" s="232"/>
      <c r="P57" s="63">
        <f>SUM(P4:P56)</f>
        <v>65.07</v>
      </c>
      <c r="Q57" s="232"/>
      <c r="R57" s="63">
        <f>SUM(R3:R56)</f>
        <v>65.07</v>
      </c>
      <c r="S57" s="232"/>
      <c r="T57" s="63">
        <f>SUM(T3:T56)</f>
        <v>65.07</v>
      </c>
      <c r="U57" s="232"/>
      <c r="V57" s="63">
        <f>SUM(V3:V56)</f>
        <v>65.07</v>
      </c>
      <c r="W57" s="235"/>
      <c r="X57" s="63">
        <f>SUM(X3:X56)</f>
        <v>65.07</v>
      </c>
      <c r="Y57" s="94">
        <f t="shared" si="0"/>
        <v>0</v>
      </c>
      <c r="Z57" s="21">
        <f t="shared" si="12"/>
        <v>0</v>
      </c>
      <c r="AA57" s="49"/>
      <c r="AB57" s="49"/>
    </row>
    <row r="58" spans="1:28" ht="12.75">
      <c r="A58" s="21"/>
      <c r="B58" s="21"/>
      <c r="C58" s="21"/>
      <c r="D58" s="107"/>
      <c r="E58" s="232"/>
      <c r="F58" s="21"/>
      <c r="G58" s="232"/>
      <c r="H58" s="21"/>
      <c r="I58" s="232"/>
      <c r="J58" s="21"/>
      <c r="K58" s="232"/>
      <c r="L58" s="21"/>
      <c r="M58" s="235"/>
      <c r="N58" s="21"/>
      <c r="O58" s="232"/>
      <c r="P58" s="101"/>
      <c r="Q58" s="232"/>
      <c r="R58" s="21"/>
      <c r="S58" s="232"/>
      <c r="T58" s="21"/>
      <c r="U58" s="232"/>
      <c r="V58" s="21"/>
      <c r="W58" s="235"/>
      <c r="X58" s="21"/>
      <c r="Y58" s="94"/>
      <c r="Z58" s="21">
        <f>SUM(Z3:Z57)</f>
        <v>650.53</v>
      </c>
      <c r="AA58" s="49"/>
      <c r="AB58" s="49"/>
    </row>
    <row r="59" spans="27:28" ht="12.75">
      <c r="AA59" s="33"/>
      <c r="AB59" s="33"/>
    </row>
    <row r="60" spans="27:28" ht="12.75">
      <c r="AA60" s="33"/>
      <c r="AB60" s="33"/>
    </row>
    <row r="61" spans="27:28" ht="12.75">
      <c r="AA61" s="33"/>
      <c r="AB61" s="33"/>
    </row>
    <row r="62" spans="27:28" ht="12.75">
      <c r="AA62" s="33"/>
      <c r="AB62" s="33"/>
    </row>
    <row r="63" spans="27:28" ht="12.75">
      <c r="AA63" s="33"/>
      <c r="AB63" s="33"/>
    </row>
    <row r="64" spans="27:28" ht="12.75">
      <c r="AA64" s="33"/>
      <c r="AB64" s="33"/>
    </row>
    <row r="65" spans="27:28" ht="12.75">
      <c r="AA65" s="33"/>
      <c r="AB65" s="33"/>
    </row>
    <row r="66" spans="27:28" ht="12.75">
      <c r="AA66" s="33"/>
      <c r="AB66" s="33"/>
    </row>
    <row r="67" spans="27:28" ht="12.75">
      <c r="AA67" s="33"/>
      <c r="AB67" s="33"/>
    </row>
    <row r="68" spans="27:28" ht="12.75">
      <c r="AA68" s="33"/>
      <c r="AB68" s="33"/>
    </row>
    <row r="69" spans="27:28" ht="12.75">
      <c r="AA69" s="33"/>
      <c r="AB69" s="33"/>
    </row>
    <row r="70" spans="27:28" ht="12.75">
      <c r="AA70" s="33"/>
      <c r="AB70" s="33"/>
    </row>
    <row r="71" spans="27:28" ht="12.75">
      <c r="AA71" s="33"/>
      <c r="AB71" s="33"/>
    </row>
    <row r="72" spans="27:28" ht="12.75">
      <c r="AA72" s="33"/>
      <c r="AB72" s="33"/>
    </row>
    <row r="73" spans="27:28" ht="12.75">
      <c r="AA73" s="33"/>
      <c r="AB73" s="33"/>
    </row>
    <row r="80" ht="12.75">
      <c r="B80" s="3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Q60"/>
  <sheetViews>
    <sheetView zoomScalePageLayoutView="0" workbookViewId="0" topLeftCell="A1">
      <selection activeCell="A1" sqref="A1:P1"/>
    </sheetView>
  </sheetViews>
  <sheetFormatPr defaultColWidth="9.00390625" defaultRowHeight="12.75"/>
  <cols>
    <col min="1" max="1" width="3.50390625" style="0" customWidth="1"/>
    <col min="2" max="2" width="34.125" style="0" customWidth="1"/>
    <col min="3" max="3" width="6.125" style="0" customWidth="1"/>
    <col min="4" max="4" width="7.50390625" style="0" customWidth="1"/>
    <col min="5" max="5" width="8.125" style="0" customWidth="1"/>
    <col min="6" max="7" width="9.50390625" style="0" customWidth="1"/>
    <col min="8" max="8" width="7.875" style="0" customWidth="1"/>
    <col min="9" max="9" width="9.00390625" style="0" customWidth="1"/>
    <col min="10" max="10" width="8.375" style="0" customWidth="1"/>
    <col min="11" max="11" width="8.125" style="0" customWidth="1"/>
    <col min="12" max="12" width="13.125" style="0" customWidth="1"/>
    <col min="13" max="13" width="9.00390625" style="243" customWidth="1"/>
    <col min="14" max="14" width="9.50390625" style="0" customWidth="1"/>
    <col min="15" max="15" width="13.875" style="0" customWidth="1"/>
    <col min="16" max="16" width="9.50390625" style="251" customWidth="1"/>
    <col min="17" max="17" width="10.125" style="0" customWidth="1"/>
  </cols>
  <sheetData>
    <row r="1" spans="1:16" ht="13.5">
      <c r="A1" s="275" t="s">
        <v>222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6"/>
    </row>
    <row r="2" spans="1:15" ht="13.5">
      <c r="A2" s="36"/>
      <c r="B2" s="36"/>
      <c r="C2" s="36"/>
      <c r="D2" s="36"/>
      <c r="E2" s="36"/>
      <c r="F2" s="36"/>
      <c r="G2" s="36"/>
      <c r="H2" s="50"/>
      <c r="I2" s="36"/>
      <c r="J2" s="36"/>
      <c r="K2" s="36"/>
      <c r="L2" s="36"/>
      <c r="M2" s="238"/>
      <c r="N2" s="36"/>
      <c r="O2" s="36"/>
    </row>
    <row r="3" spans="1:17" ht="41.25">
      <c r="A3" s="37" t="s">
        <v>3</v>
      </c>
      <c r="B3" s="37" t="s">
        <v>51</v>
      </c>
      <c r="C3" s="37" t="s">
        <v>57</v>
      </c>
      <c r="D3" s="37" t="s">
        <v>52</v>
      </c>
      <c r="E3" s="37" t="s">
        <v>125</v>
      </c>
      <c r="F3" s="79" t="s">
        <v>59</v>
      </c>
      <c r="G3" s="79" t="s">
        <v>58</v>
      </c>
      <c r="H3" s="37" t="s">
        <v>126</v>
      </c>
      <c r="I3" s="79" t="s">
        <v>59</v>
      </c>
      <c r="J3" s="79" t="s">
        <v>127</v>
      </c>
      <c r="K3" s="79" t="s">
        <v>60</v>
      </c>
      <c r="L3" s="37" t="s">
        <v>53</v>
      </c>
      <c r="M3" s="239" t="s">
        <v>66</v>
      </c>
      <c r="N3" s="37" t="s">
        <v>61</v>
      </c>
      <c r="O3" s="37" t="s">
        <v>53</v>
      </c>
      <c r="P3" s="252" t="s">
        <v>61</v>
      </c>
      <c r="Q3" s="51" t="s">
        <v>53</v>
      </c>
    </row>
    <row r="4" spans="1:17" ht="13.5">
      <c r="A4" s="38">
        <f>завтрак!A3</f>
        <v>1</v>
      </c>
      <c r="B4" s="39" t="str">
        <f>обед!B3</f>
        <v>Яйцо (1 сорт)</v>
      </c>
      <c r="C4" s="40" t="str">
        <f>обед!C3</f>
        <v>шт</v>
      </c>
      <c r="D4" s="60">
        <f>обед!D3</f>
        <v>9.5</v>
      </c>
      <c r="E4" s="46">
        <f>завтрак!AA3</f>
        <v>22.2</v>
      </c>
      <c r="F4" s="43">
        <v>58</v>
      </c>
      <c r="G4" s="43">
        <f>E4*F4</f>
        <v>1287.6</v>
      </c>
      <c r="H4" s="80">
        <f>обед!AA3</f>
        <v>1.2</v>
      </c>
      <c r="I4" s="43">
        <v>49</v>
      </c>
      <c r="J4" s="43">
        <f>H4*I4</f>
        <v>58.8</v>
      </c>
      <c r="K4" s="43">
        <f>G4+J4</f>
        <v>1346.4</v>
      </c>
      <c r="L4" s="44">
        <f>D4*K4</f>
        <v>12790.8</v>
      </c>
      <c r="M4" s="240">
        <v>20</v>
      </c>
      <c r="N4" s="45">
        <f aca="true" t="shared" si="0" ref="N4:N55">K4-M4</f>
        <v>1326.4</v>
      </c>
      <c r="O4" s="44">
        <f aca="true" t="shared" si="1" ref="O4:O35">N4*D4</f>
        <v>12600.8</v>
      </c>
      <c r="P4" s="85">
        <f>N4</f>
        <v>1326</v>
      </c>
      <c r="Q4" s="52">
        <f aca="true" t="shared" si="2" ref="Q4:Q35">P4*D4</f>
        <v>12597</v>
      </c>
    </row>
    <row r="5" spans="1:17" ht="27">
      <c r="A5" s="38">
        <f>завтрак!A4</f>
        <v>2</v>
      </c>
      <c r="B5" s="59" t="str">
        <f>обед!B4</f>
        <v>Мясо говядины (1 категории), без кости</v>
      </c>
      <c r="C5" s="244" t="str">
        <f>обед!C4</f>
        <v>кг</v>
      </c>
      <c r="D5" s="81">
        <f>обед!D4</f>
        <v>603</v>
      </c>
      <c r="E5" s="245">
        <f>завтрак!AA4</f>
        <v>666</v>
      </c>
      <c r="F5" s="43">
        <v>58</v>
      </c>
      <c r="G5" s="246">
        <f>E5*F5/1000</f>
        <v>38.628</v>
      </c>
      <c r="H5" s="247">
        <f>обед!AA4</f>
        <v>1632</v>
      </c>
      <c r="I5" s="43">
        <v>49</v>
      </c>
      <c r="J5" s="246">
        <f>H5*I5/1000</f>
        <v>79.968</v>
      </c>
      <c r="K5" s="246">
        <f>G5+J5</f>
        <v>118.596</v>
      </c>
      <c r="L5" s="248">
        <f>D5*K5</f>
        <v>71513.39</v>
      </c>
      <c r="M5" s="249">
        <v>1.4</v>
      </c>
      <c r="N5" s="45">
        <f t="shared" si="0"/>
        <v>117.2</v>
      </c>
      <c r="O5" s="44">
        <f t="shared" si="1"/>
        <v>70671.6</v>
      </c>
      <c r="P5" s="85">
        <f aca="true" t="shared" si="3" ref="P5:P57">N5</f>
        <v>117</v>
      </c>
      <c r="Q5" s="52">
        <f t="shared" si="2"/>
        <v>70551</v>
      </c>
    </row>
    <row r="6" spans="1:17" ht="13.5">
      <c r="A6" s="38">
        <f>завтрак!A5</f>
        <v>3</v>
      </c>
      <c r="B6" s="39" t="str">
        <f>обед!B5</f>
        <v>Мясо птицы (1 категории)</v>
      </c>
      <c r="C6" s="40" t="str">
        <f>обед!C5</f>
        <v>кг</v>
      </c>
      <c r="D6" s="81">
        <f>обед!D5</f>
        <v>258</v>
      </c>
      <c r="E6" s="46">
        <f>завтрак!AA5</f>
        <v>1314</v>
      </c>
      <c r="F6" s="43">
        <v>58</v>
      </c>
      <c r="G6" s="43">
        <f aca="true" t="shared" si="4" ref="G6:G55">E6*F6/1000</f>
        <v>76.212</v>
      </c>
      <c r="H6" s="80">
        <f>обед!AA5</f>
        <v>1824</v>
      </c>
      <c r="I6" s="43">
        <v>49</v>
      </c>
      <c r="J6" s="43">
        <f aca="true" t="shared" si="5" ref="J6:J55">H6*I6/1000</f>
        <v>89.376</v>
      </c>
      <c r="K6" s="43">
        <f aca="true" t="shared" si="6" ref="K6:K57">G6+J6</f>
        <v>165.588</v>
      </c>
      <c r="L6" s="44">
        <f aca="true" t="shared" si="7" ref="L6:L57">D6*K6</f>
        <v>42721.7</v>
      </c>
      <c r="M6" s="240">
        <v>3</v>
      </c>
      <c r="N6" s="45">
        <f t="shared" si="0"/>
        <v>162.59</v>
      </c>
      <c r="O6" s="44">
        <f t="shared" si="1"/>
        <v>41948.22</v>
      </c>
      <c r="P6" s="85">
        <f t="shared" si="3"/>
        <v>163</v>
      </c>
      <c r="Q6" s="52">
        <f t="shared" si="2"/>
        <v>42054</v>
      </c>
    </row>
    <row r="7" spans="1:17" ht="13.5">
      <c r="A7" s="38">
        <f>завтрак!A6</f>
        <v>4</v>
      </c>
      <c r="B7" s="39" t="str">
        <f>обед!B6</f>
        <v>Сосиски говяжьи (высший сорт)</v>
      </c>
      <c r="C7" s="40" t="str">
        <f>обед!C6</f>
        <v>кг</v>
      </c>
      <c r="D7" s="81">
        <f>обед!D6</f>
        <v>284</v>
      </c>
      <c r="E7" s="46">
        <f>завтрак!AA6</f>
        <v>390</v>
      </c>
      <c r="F7" s="43">
        <v>58</v>
      </c>
      <c r="G7" s="43">
        <f t="shared" si="4"/>
        <v>22.62</v>
      </c>
      <c r="H7" s="80">
        <f>обед!AA6</f>
        <v>0</v>
      </c>
      <c r="I7" s="43">
        <v>49</v>
      </c>
      <c r="J7" s="43">
        <f t="shared" si="5"/>
        <v>0</v>
      </c>
      <c r="K7" s="43">
        <f t="shared" si="6"/>
        <v>22.62</v>
      </c>
      <c r="L7" s="44">
        <f t="shared" si="7"/>
        <v>6424.08</v>
      </c>
      <c r="M7" s="240">
        <v>0.9</v>
      </c>
      <c r="N7" s="45">
        <f t="shared" si="0"/>
        <v>21.72</v>
      </c>
      <c r="O7" s="44">
        <f t="shared" si="1"/>
        <v>6168.48</v>
      </c>
      <c r="P7" s="85">
        <f t="shared" si="3"/>
        <v>22</v>
      </c>
      <c r="Q7" s="52">
        <f t="shared" si="2"/>
        <v>6248</v>
      </c>
    </row>
    <row r="8" spans="1:17" ht="27">
      <c r="A8" s="38">
        <f>завтрак!A7</f>
        <v>5</v>
      </c>
      <c r="B8" s="39" t="str">
        <f>обед!B7</f>
        <v>Колбасы вареные для детского питания в/с</v>
      </c>
      <c r="C8" s="40" t="str">
        <f>обед!C7</f>
        <v>кг</v>
      </c>
      <c r="D8" s="81">
        <f>обед!D7</f>
        <v>301</v>
      </c>
      <c r="E8" s="46">
        <f>завтрак!AA7</f>
        <v>0</v>
      </c>
      <c r="F8" s="43">
        <v>58</v>
      </c>
      <c r="G8" s="43">
        <f t="shared" si="4"/>
        <v>0</v>
      </c>
      <c r="H8" s="80">
        <f>обед!AA7</f>
        <v>0</v>
      </c>
      <c r="I8" s="43">
        <v>49</v>
      </c>
      <c r="J8" s="43">
        <f t="shared" si="5"/>
        <v>0</v>
      </c>
      <c r="K8" s="43">
        <f t="shared" si="6"/>
        <v>0</v>
      </c>
      <c r="L8" s="44">
        <f t="shared" si="7"/>
        <v>0</v>
      </c>
      <c r="M8" s="240"/>
      <c r="N8" s="45">
        <f t="shared" si="0"/>
        <v>0</v>
      </c>
      <c r="O8" s="44">
        <f t="shared" si="1"/>
        <v>0</v>
      </c>
      <c r="P8" s="85">
        <f t="shared" si="3"/>
        <v>0</v>
      </c>
      <c r="Q8" s="52">
        <f t="shared" si="2"/>
        <v>0</v>
      </c>
    </row>
    <row r="9" spans="1:17" ht="13.5">
      <c r="A9" s="38">
        <f>завтрак!A8</f>
        <v>6</v>
      </c>
      <c r="B9" s="39" t="str">
        <f>обед!B8</f>
        <v>Молоко пастеризованное (2,5%)</v>
      </c>
      <c r="C9" s="40" t="str">
        <f>обед!C8</f>
        <v>л</v>
      </c>
      <c r="D9" s="81">
        <f>обед!D8</f>
        <v>68</v>
      </c>
      <c r="E9" s="46">
        <f>завтрак!AA8</f>
        <v>5760</v>
      </c>
      <c r="F9" s="43">
        <v>58</v>
      </c>
      <c r="G9" s="43">
        <f t="shared" si="4"/>
        <v>334.08</v>
      </c>
      <c r="H9" s="80">
        <f>обед!AA8</f>
        <v>360</v>
      </c>
      <c r="I9" s="43">
        <v>49</v>
      </c>
      <c r="J9" s="43">
        <f t="shared" si="5"/>
        <v>17.64</v>
      </c>
      <c r="K9" s="43">
        <f t="shared" si="6"/>
        <v>351.72</v>
      </c>
      <c r="L9" s="44">
        <f t="shared" si="7"/>
        <v>23916.96</v>
      </c>
      <c r="M9" s="240">
        <v>10</v>
      </c>
      <c r="N9" s="45">
        <f t="shared" si="0"/>
        <v>341.72</v>
      </c>
      <c r="O9" s="44">
        <f t="shared" si="1"/>
        <v>23236.96</v>
      </c>
      <c r="P9" s="85">
        <f t="shared" si="3"/>
        <v>342</v>
      </c>
      <c r="Q9" s="52">
        <f t="shared" si="2"/>
        <v>23256</v>
      </c>
    </row>
    <row r="10" spans="1:17" ht="13.5">
      <c r="A10" s="38">
        <f>завтрак!A9</f>
        <v>7</v>
      </c>
      <c r="B10" s="39" t="str">
        <f>обед!B9</f>
        <v>Масло сливочное (72,5%)</v>
      </c>
      <c r="C10" s="40" t="str">
        <f>обед!C9</f>
        <v>кг</v>
      </c>
      <c r="D10" s="81">
        <f>обед!D9</f>
        <v>481</v>
      </c>
      <c r="E10" s="46">
        <f>завтрак!AA9</f>
        <v>522</v>
      </c>
      <c r="F10" s="43">
        <v>58</v>
      </c>
      <c r="G10" s="43">
        <f t="shared" si="4"/>
        <v>30.276</v>
      </c>
      <c r="H10" s="80">
        <f>обед!AA9</f>
        <v>258</v>
      </c>
      <c r="I10" s="43">
        <v>49</v>
      </c>
      <c r="J10" s="43">
        <f t="shared" si="5"/>
        <v>12.642</v>
      </c>
      <c r="K10" s="43">
        <f t="shared" si="6"/>
        <v>42.918</v>
      </c>
      <c r="L10" s="44">
        <f t="shared" si="7"/>
        <v>20643.56</v>
      </c>
      <c r="M10" s="240">
        <v>1</v>
      </c>
      <c r="N10" s="45">
        <f t="shared" si="0"/>
        <v>41.92</v>
      </c>
      <c r="O10" s="44">
        <f t="shared" si="1"/>
        <v>20163.52</v>
      </c>
      <c r="P10" s="85">
        <f t="shared" si="3"/>
        <v>42</v>
      </c>
      <c r="Q10" s="52">
        <f t="shared" si="2"/>
        <v>20202</v>
      </c>
    </row>
    <row r="11" spans="1:17" ht="13.5">
      <c r="A11" s="38">
        <f>завтрак!A10</f>
        <v>8</v>
      </c>
      <c r="B11" s="39" t="str">
        <f>обед!B10</f>
        <v>Сметана (15%)</v>
      </c>
      <c r="C11" s="40" t="str">
        <f>обед!C10</f>
        <v>кг</v>
      </c>
      <c r="D11" s="81">
        <f>обед!D10</f>
        <v>182</v>
      </c>
      <c r="E11" s="46">
        <f>завтрак!AA10</f>
        <v>108</v>
      </c>
      <c r="F11" s="43">
        <v>58</v>
      </c>
      <c r="G11" s="43">
        <f t="shared" si="4"/>
        <v>6.264</v>
      </c>
      <c r="H11" s="80">
        <f>обед!AA10</f>
        <v>378</v>
      </c>
      <c r="I11" s="43">
        <v>49</v>
      </c>
      <c r="J11" s="43">
        <f t="shared" si="5"/>
        <v>18.522</v>
      </c>
      <c r="K11" s="43">
        <f t="shared" si="6"/>
        <v>24.786</v>
      </c>
      <c r="L11" s="44">
        <f t="shared" si="7"/>
        <v>4511.05</v>
      </c>
      <c r="M11" s="240">
        <v>3</v>
      </c>
      <c r="N11" s="45">
        <f t="shared" si="0"/>
        <v>21.79</v>
      </c>
      <c r="O11" s="44">
        <f t="shared" si="1"/>
        <v>3965.78</v>
      </c>
      <c r="P11" s="85">
        <f t="shared" si="3"/>
        <v>22</v>
      </c>
      <c r="Q11" s="52">
        <f t="shared" si="2"/>
        <v>4004</v>
      </c>
    </row>
    <row r="12" spans="1:17" ht="13.5">
      <c r="A12" s="38">
        <f>завтрак!A11</f>
        <v>9</v>
      </c>
      <c r="B12" s="39" t="str">
        <f>обед!B11</f>
        <v>Творог (5%)</v>
      </c>
      <c r="C12" s="40" t="str">
        <f>обед!C11</f>
        <v>кг</v>
      </c>
      <c r="D12" s="81">
        <f>обед!D11</f>
        <v>206</v>
      </c>
      <c r="E12" s="46">
        <f>завтрак!AA11</f>
        <v>630</v>
      </c>
      <c r="F12" s="43">
        <v>58</v>
      </c>
      <c r="G12" s="43">
        <f t="shared" si="4"/>
        <v>36.54</v>
      </c>
      <c r="H12" s="80">
        <f>обед!AA11</f>
        <v>0</v>
      </c>
      <c r="I12" s="43">
        <v>49</v>
      </c>
      <c r="J12" s="43">
        <f t="shared" si="5"/>
        <v>0</v>
      </c>
      <c r="K12" s="43">
        <f t="shared" si="6"/>
        <v>36.54</v>
      </c>
      <c r="L12" s="44">
        <f t="shared" si="7"/>
        <v>7527.24</v>
      </c>
      <c r="M12" s="240">
        <v>1</v>
      </c>
      <c r="N12" s="45">
        <f t="shared" si="0"/>
        <v>35.54</v>
      </c>
      <c r="O12" s="44">
        <f t="shared" si="1"/>
        <v>7321.24</v>
      </c>
      <c r="P12" s="85">
        <f t="shared" si="3"/>
        <v>36</v>
      </c>
      <c r="Q12" s="52">
        <f t="shared" si="2"/>
        <v>7416</v>
      </c>
    </row>
    <row r="13" spans="1:17" ht="13.5">
      <c r="A13" s="38">
        <f>завтрак!A12</f>
        <v>10</v>
      </c>
      <c r="B13" s="39" t="str">
        <f>обед!B12</f>
        <v>Сыр твердый (45%)</v>
      </c>
      <c r="C13" s="40" t="str">
        <f>обед!C12</f>
        <v>кг</v>
      </c>
      <c r="D13" s="81">
        <f>обед!D12</f>
        <v>505</v>
      </c>
      <c r="E13" s="46">
        <f>завтрак!AA12</f>
        <v>357</v>
      </c>
      <c r="F13" s="43">
        <v>58</v>
      </c>
      <c r="G13" s="43">
        <f t="shared" si="4"/>
        <v>20.706</v>
      </c>
      <c r="H13" s="80">
        <f>обед!AA12</f>
        <v>0</v>
      </c>
      <c r="I13" s="43">
        <v>49</v>
      </c>
      <c r="J13" s="43">
        <f t="shared" si="5"/>
        <v>0</v>
      </c>
      <c r="K13" s="43">
        <f t="shared" si="6"/>
        <v>20.706</v>
      </c>
      <c r="L13" s="44">
        <f t="shared" si="7"/>
        <v>10456.53</v>
      </c>
      <c r="M13" s="240"/>
      <c r="N13" s="45">
        <f t="shared" si="0"/>
        <v>20.71</v>
      </c>
      <c r="O13" s="44">
        <f t="shared" si="1"/>
        <v>10458.55</v>
      </c>
      <c r="P13" s="85">
        <f t="shared" si="3"/>
        <v>21</v>
      </c>
      <c r="Q13" s="52">
        <f t="shared" si="2"/>
        <v>10605</v>
      </c>
    </row>
    <row r="14" spans="1:17" ht="27">
      <c r="A14" s="38">
        <f>завтрак!A13</f>
        <v>11</v>
      </c>
      <c r="B14" s="39" t="str">
        <f>обед!B13</f>
        <v>Молоко сгущенное цельное с сахаром (8,5%)</v>
      </c>
      <c r="C14" s="40" t="str">
        <f>обед!C13</f>
        <v>кг</v>
      </c>
      <c r="D14" s="81">
        <f>обед!D13</f>
        <v>233</v>
      </c>
      <c r="E14" s="46">
        <f>завтрак!AA13</f>
        <v>120</v>
      </c>
      <c r="F14" s="43">
        <v>58</v>
      </c>
      <c r="G14" s="43">
        <f t="shared" si="4"/>
        <v>6.96</v>
      </c>
      <c r="H14" s="80">
        <f>обед!AA13</f>
        <v>0</v>
      </c>
      <c r="I14" s="43">
        <v>49</v>
      </c>
      <c r="J14" s="43">
        <f>H14*I14/1000</f>
        <v>0</v>
      </c>
      <c r="K14" s="43">
        <f t="shared" si="6"/>
        <v>6.96</v>
      </c>
      <c r="L14" s="44">
        <f t="shared" si="7"/>
        <v>1621.68</v>
      </c>
      <c r="M14" s="240"/>
      <c r="N14" s="45">
        <f t="shared" si="0"/>
        <v>6.96</v>
      </c>
      <c r="O14" s="44">
        <f t="shared" si="1"/>
        <v>1621.68</v>
      </c>
      <c r="P14" s="85">
        <f t="shared" si="3"/>
        <v>7</v>
      </c>
      <c r="Q14" s="52">
        <f t="shared" si="2"/>
        <v>1631</v>
      </c>
    </row>
    <row r="15" spans="1:17" ht="13.5">
      <c r="A15" s="38">
        <f>завтрак!A14</f>
        <v>12</v>
      </c>
      <c r="B15" s="39" t="str">
        <f>обед!B14</f>
        <v>Картофель (1 сорт)</v>
      </c>
      <c r="C15" s="40" t="str">
        <f>обед!C14</f>
        <v>кг</v>
      </c>
      <c r="D15" s="81">
        <f>обед!D14</f>
        <v>58</v>
      </c>
      <c r="E15" s="46">
        <f>завтрак!AA14</f>
        <v>3078</v>
      </c>
      <c r="F15" s="43">
        <v>58</v>
      </c>
      <c r="G15" s="43">
        <f t="shared" si="4"/>
        <v>178.524</v>
      </c>
      <c r="H15" s="80">
        <f>обед!AA14</f>
        <v>8424</v>
      </c>
      <c r="I15" s="43">
        <v>49</v>
      </c>
      <c r="J15" s="43">
        <f t="shared" si="5"/>
        <v>412.776</v>
      </c>
      <c r="K15" s="43">
        <f t="shared" si="6"/>
        <v>591.3</v>
      </c>
      <c r="L15" s="44">
        <f t="shared" si="7"/>
        <v>34295.4</v>
      </c>
      <c r="M15" s="240">
        <v>17</v>
      </c>
      <c r="N15" s="45">
        <f t="shared" si="0"/>
        <v>574.3</v>
      </c>
      <c r="O15" s="44">
        <f t="shared" si="1"/>
        <v>33309.4</v>
      </c>
      <c r="P15" s="85">
        <f t="shared" si="3"/>
        <v>574</v>
      </c>
      <c r="Q15" s="52">
        <f t="shared" si="2"/>
        <v>33292</v>
      </c>
    </row>
    <row r="16" spans="1:17" ht="13.5">
      <c r="A16" s="38">
        <f>завтрак!A15</f>
        <v>13</v>
      </c>
      <c r="B16" s="39" t="str">
        <f>обед!B15</f>
        <v>Капуста белокачанная (1 сорт)</v>
      </c>
      <c r="C16" s="40" t="str">
        <f>обед!C15</f>
        <v>кг</v>
      </c>
      <c r="D16" s="81">
        <f>обед!D15</f>
        <v>51</v>
      </c>
      <c r="E16" s="46">
        <f>завтрак!AA15</f>
        <v>0</v>
      </c>
      <c r="F16" s="43">
        <v>58</v>
      </c>
      <c r="G16" s="43">
        <f t="shared" si="4"/>
        <v>0</v>
      </c>
      <c r="H16" s="80">
        <f>обед!AA15</f>
        <v>240</v>
      </c>
      <c r="I16" s="43">
        <v>49</v>
      </c>
      <c r="J16" s="43">
        <f t="shared" si="5"/>
        <v>11.76</v>
      </c>
      <c r="K16" s="43">
        <f t="shared" si="6"/>
        <v>11.76</v>
      </c>
      <c r="L16" s="44">
        <f t="shared" si="7"/>
        <v>599.76</v>
      </c>
      <c r="M16" s="240">
        <v>0.4</v>
      </c>
      <c r="N16" s="45">
        <f t="shared" si="0"/>
        <v>11.36</v>
      </c>
      <c r="O16" s="44">
        <f t="shared" si="1"/>
        <v>579.36</v>
      </c>
      <c r="P16" s="85">
        <f t="shared" si="3"/>
        <v>11</v>
      </c>
      <c r="Q16" s="52">
        <f t="shared" si="2"/>
        <v>561</v>
      </c>
    </row>
    <row r="17" spans="1:17" ht="13.5">
      <c r="A17" s="38">
        <f>завтрак!A16</f>
        <v>14</v>
      </c>
      <c r="B17" s="39" t="str">
        <f>обед!B16</f>
        <v>Лук репчатый (1 сорт)</v>
      </c>
      <c r="C17" s="40" t="str">
        <f>обед!C16</f>
        <v>кг</v>
      </c>
      <c r="D17" s="81">
        <f>обед!D16</f>
        <v>49</v>
      </c>
      <c r="E17" s="46">
        <f>завтрак!AA16</f>
        <v>336</v>
      </c>
      <c r="F17" s="43">
        <v>58</v>
      </c>
      <c r="G17" s="43">
        <f t="shared" si="4"/>
        <v>19.488</v>
      </c>
      <c r="H17" s="80">
        <f>обед!AA16</f>
        <v>1266</v>
      </c>
      <c r="I17" s="43">
        <v>49</v>
      </c>
      <c r="J17" s="43">
        <f t="shared" si="5"/>
        <v>62.034</v>
      </c>
      <c r="K17" s="43">
        <f t="shared" si="6"/>
        <v>81.522</v>
      </c>
      <c r="L17" s="44">
        <f t="shared" si="7"/>
        <v>3994.58</v>
      </c>
      <c r="M17" s="240">
        <v>5</v>
      </c>
      <c r="N17" s="45">
        <f t="shared" si="0"/>
        <v>76.52</v>
      </c>
      <c r="O17" s="44">
        <f t="shared" si="1"/>
        <v>3749.48</v>
      </c>
      <c r="P17" s="85">
        <f t="shared" si="3"/>
        <v>77</v>
      </c>
      <c r="Q17" s="52">
        <f t="shared" si="2"/>
        <v>3773</v>
      </c>
    </row>
    <row r="18" spans="1:17" ht="13.5">
      <c r="A18" s="38">
        <f>завтрак!A17</f>
        <v>15</v>
      </c>
      <c r="B18" s="39" t="str">
        <f>обед!B17</f>
        <v>Морковь (1 сорт)</v>
      </c>
      <c r="C18" s="40" t="str">
        <f>обед!C17</f>
        <v>кг</v>
      </c>
      <c r="D18" s="81">
        <f>обед!D17</f>
        <v>67</v>
      </c>
      <c r="E18" s="46">
        <f>завтрак!AA17</f>
        <v>264</v>
      </c>
      <c r="F18" s="43">
        <v>58</v>
      </c>
      <c r="G18" s="43">
        <f t="shared" si="4"/>
        <v>15.312</v>
      </c>
      <c r="H18" s="80">
        <f>обед!AA17</f>
        <v>1134</v>
      </c>
      <c r="I18" s="43">
        <v>49</v>
      </c>
      <c r="J18" s="43">
        <f t="shared" si="5"/>
        <v>55.566</v>
      </c>
      <c r="K18" s="43">
        <f t="shared" si="6"/>
        <v>70.878</v>
      </c>
      <c r="L18" s="44">
        <f t="shared" si="7"/>
        <v>4748.83</v>
      </c>
      <c r="M18" s="240">
        <v>1</v>
      </c>
      <c r="N18" s="45">
        <f t="shared" si="0"/>
        <v>69.88</v>
      </c>
      <c r="O18" s="44">
        <f t="shared" si="1"/>
        <v>4681.96</v>
      </c>
      <c r="P18" s="85">
        <f t="shared" si="3"/>
        <v>70</v>
      </c>
      <c r="Q18" s="52">
        <f t="shared" si="2"/>
        <v>4690</v>
      </c>
    </row>
    <row r="19" spans="1:17" ht="13.5">
      <c r="A19" s="38">
        <f>завтрак!A18</f>
        <v>16</v>
      </c>
      <c r="B19" s="39" t="str">
        <f>обед!B18</f>
        <v>Свекла (1 сорт)</v>
      </c>
      <c r="C19" s="40" t="str">
        <f>обед!C18</f>
        <v>кг</v>
      </c>
      <c r="D19" s="81">
        <f>обед!D18</f>
        <v>57</v>
      </c>
      <c r="E19" s="46">
        <f>завтрак!AA18</f>
        <v>0</v>
      </c>
      <c r="F19" s="43">
        <v>58</v>
      </c>
      <c r="G19" s="43">
        <f t="shared" si="4"/>
        <v>0</v>
      </c>
      <c r="H19" s="80">
        <f>обед!AA18</f>
        <v>852</v>
      </c>
      <c r="I19" s="43">
        <v>49</v>
      </c>
      <c r="J19" s="43">
        <f t="shared" si="5"/>
        <v>41.748</v>
      </c>
      <c r="K19" s="43">
        <f t="shared" si="6"/>
        <v>41.748</v>
      </c>
      <c r="L19" s="44">
        <f t="shared" si="7"/>
        <v>2379.64</v>
      </c>
      <c r="M19" s="240">
        <v>1.3</v>
      </c>
      <c r="N19" s="45">
        <f t="shared" si="0"/>
        <v>40.45</v>
      </c>
      <c r="O19" s="44">
        <f t="shared" si="1"/>
        <v>2305.65</v>
      </c>
      <c r="P19" s="85">
        <f t="shared" si="3"/>
        <v>40</v>
      </c>
      <c r="Q19" s="52">
        <f t="shared" si="2"/>
        <v>2280</v>
      </c>
    </row>
    <row r="20" spans="1:17" ht="27">
      <c r="A20" s="38">
        <f>завтрак!A19</f>
        <v>17</v>
      </c>
      <c r="B20" s="39" t="str">
        <f>обед!B19</f>
        <v>Огурцы консервированные без уксуса (1с)</v>
      </c>
      <c r="C20" s="40" t="str">
        <f>обед!C19</f>
        <v>кг</v>
      </c>
      <c r="D20" s="81">
        <f>обед!D19</f>
        <v>68</v>
      </c>
      <c r="E20" s="46">
        <f>завтрак!AA19</f>
        <v>360</v>
      </c>
      <c r="F20" s="43">
        <v>58</v>
      </c>
      <c r="G20" s="43">
        <f t="shared" si="4"/>
        <v>20.88</v>
      </c>
      <c r="H20" s="80">
        <f>обед!AA19</f>
        <v>714</v>
      </c>
      <c r="I20" s="43">
        <v>49</v>
      </c>
      <c r="J20" s="43">
        <f t="shared" si="5"/>
        <v>34.986</v>
      </c>
      <c r="K20" s="43">
        <f t="shared" si="6"/>
        <v>55.866</v>
      </c>
      <c r="L20" s="44">
        <f t="shared" si="7"/>
        <v>3798.89</v>
      </c>
      <c r="M20" s="240">
        <v>6</v>
      </c>
      <c r="N20" s="45">
        <f t="shared" si="0"/>
        <v>49.87</v>
      </c>
      <c r="O20" s="44">
        <f t="shared" si="1"/>
        <v>3391.16</v>
      </c>
      <c r="P20" s="85">
        <f t="shared" si="3"/>
        <v>50</v>
      </c>
      <c r="Q20" s="52">
        <f t="shared" si="2"/>
        <v>3400</v>
      </c>
    </row>
    <row r="21" spans="1:17" ht="15" customHeight="1">
      <c r="A21" s="38">
        <f>завтрак!A20</f>
        <v>18</v>
      </c>
      <c r="B21" s="39" t="str">
        <f>обед!B20</f>
        <v>Икра кабачковая для дет. питания</v>
      </c>
      <c r="C21" s="40" t="str">
        <f>обед!C20</f>
        <v>кг</v>
      </c>
      <c r="D21" s="81">
        <f>обед!D20</f>
        <v>111</v>
      </c>
      <c r="E21" s="46">
        <f>завтрак!AA20</f>
        <v>750</v>
      </c>
      <c r="F21" s="43">
        <v>58</v>
      </c>
      <c r="G21" s="43">
        <f t="shared" si="4"/>
        <v>43.5</v>
      </c>
      <c r="H21" s="80">
        <f>обед!AA20</f>
        <v>0</v>
      </c>
      <c r="I21" s="43">
        <v>49</v>
      </c>
      <c r="J21" s="43">
        <f t="shared" si="5"/>
        <v>0</v>
      </c>
      <c r="K21" s="43">
        <f t="shared" si="6"/>
        <v>43.5</v>
      </c>
      <c r="L21" s="44">
        <f t="shared" si="7"/>
        <v>4828.5</v>
      </c>
      <c r="M21" s="240"/>
      <c r="N21" s="45">
        <f t="shared" si="0"/>
        <v>43.5</v>
      </c>
      <c r="O21" s="44">
        <f t="shared" si="1"/>
        <v>4828.5</v>
      </c>
      <c r="P21" s="85">
        <f t="shared" si="3"/>
        <v>44</v>
      </c>
      <c r="Q21" s="52">
        <f t="shared" si="2"/>
        <v>4884</v>
      </c>
    </row>
    <row r="22" spans="1:17" ht="13.5">
      <c r="A22" s="38">
        <f>завтрак!A21</f>
        <v>19</v>
      </c>
      <c r="B22" s="39" t="str">
        <f>обед!B21</f>
        <v>Горошек зеленый (сорт салатный)</v>
      </c>
      <c r="C22" s="40" t="str">
        <f>обед!C21</f>
        <v>кг</v>
      </c>
      <c r="D22" s="81">
        <f>обед!D21</f>
        <v>127</v>
      </c>
      <c r="E22" s="46">
        <f>завтрак!AA21</f>
        <v>0</v>
      </c>
      <c r="F22" s="43">
        <v>58</v>
      </c>
      <c r="G22" s="43">
        <f t="shared" si="4"/>
        <v>0</v>
      </c>
      <c r="H22" s="80">
        <f>обед!AA21</f>
        <v>0</v>
      </c>
      <c r="I22" s="43">
        <v>49</v>
      </c>
      <c r="J22" s="43">
        <f t="shared" si="5"/>
        <v>0</v>
      </c>
      <c r="K22" s="43">
        <f t="shared" si="6"/>
        <v>0</v>
      </c>
      <c r="L22" s="44">
        <f t="shared" si="7"/>
        <v>0</v>
      </c>
      <c r="M22" s="240">
        <v>3.14</v>
      </c>
      <c r="N22" s="45">
        <f t="shared" si="0"/>
        <v>-3.14</v>
      </c>
      <c r="O22" s="44">
        <f t="shared" si="1"/>
        <v>-398.78</v>
      </c>
      <c r="P22" s="85">
        <v>0</v>
      </c>
      <c r="Q22" s="52">
        <f t="shared" si="2"/>
        <v>0</v>
      </c>
    </row>
    <row r="23" spans="1:17" ht="27">
      <c r="A23" s="88">
        <f>завтрак!A22</f>
        <v>20</v>
      </c>
      <c r="B23" s="39" t="str">
        <f>обед!B22</f>
        <v>Томатная паста с содержанием с/в (25-30%)</v>
      </c>
      <c r="C23" s="40" t="str">
        <f>обед!C22</f>
        <v>кг</v>
      </c>
      <c r="D23" s="81">
        <f>обед!D22</f>
        <v>124</v>
      </c>
      <c r="E23" s="46">
        <f>завтрак!AA22</f>
        <v>108</v>
      </c>
      <c r="F23" s="43">
        <v>58</v>
      </c>
      <c r="G23" s="43">
        <f t="shared" si="4"/>
        <v>6.264</v>
      </c>
      <c r="H23" s="80">
        <f>обед!AA22</f>
        <v>276</v>
      </c>
      <c r="I23" s="43">
        <v>49</v>
      </c>
      <c r="J23" s="43">
        <f t="shared" si="5"/>
        <v>13.524</v>
      </c>
      <c r="K23" s="43">
        <f t="shared" si="6"/>
        <v>19.788</v>
      </c>
      <c r="L23" s="44">
        <f t="shared" si="7"/>
        <v>2453.71</v>
      </c>
      <c r="M23" s="240">
        <v>1</v>
      </c>
      <c r="N23" s="45">
        <f t="shared" si="0"/>
        <v>18.79</v>
      </c>
      <c r="O23" s="44">
        <f t="shared" si="1"/>
        <v>2329.96</v>
      </c>
      <c r="P23" s="85">
        <f t="shared" si="3"/>
        <v>19</v>
      </c>
      <c r="Q23" s="52">
        <f t="shared" si="2"/>
        <v>2356</v>
      </c>
    </row>
    <row r="24" spans="1:17" ht="13.5">
      <c r="A24" s="38">
        <f>завтрак!A23</f>
        <v>21</v>
      </c>
      <c r="B24" s="39" t="str">
        <f>обед!B23</f>
        <v>Яблоки свежие (1 сорт)</v>
      </c>
      <c r="C24" s="40" t="str">
        <f>обед!C23</f>
        <v>кг</v>
      </c>
      <c r="D24" s="81">
        <f>обед!D23</f>
        <v>116</v>
      </c>
      <c r="E24" s="46">
        <f>завтрак!AA23</f>
        <v>3162</v>
      </c>
      <c r="F24" s="43">
        <v>58</v>
      </c>
      <c r="G24" s="43">
        <f t="shared" si="4"/>
        <v>183.396</v>
      </c>
      <c r="H24" s="80">
        <f>обед!AA23</f>
        <v>2190</v>
      </c>
      <c r="I24" s="43">
        <v>49</v>
      </c>
      <c r="J24" s="43">
        <f t="shared" si="5"/>
        <v>107.31</v>
      </c>
      <c r="K24" s="43">
        <f t="shared" si="6"/>
        <v>290.706</v>
      </c>
      <c r="L24" s="44">
        <f t="shared" si="7"/>
        <v>33721.9</v>
      </c>
      <c r="M24" s="240">
        <v>3</v>
      </c>
      <c r="N24" s="45">
        <f t="shared" si="0"/>
        <v>287.71</v>
      </c>
      <c r="O24" s="44">
        <f t="shared" si="1"/>
        <v>33374.36</v>
      </c>
      <c r="P24" s="85">
        <f t="shared" si="3"/>
        <v>288</v>
      </c>
      <c r="Q24" s="52">
        <f t="shared" si="2"/>
        <v>33408</v>
      </c>
    </row>
    <row r="25" spans="1:17" ht="13.5">
      <c r="A25" s="38">
        <f>завтрак!A24</f>
        <v>22</v>
      </c>
      <c r="B25" s="39" t="str">
        <f>обед!B24</f>
        <v>Бананы свежие (1 сорт)</v>
      </c>
      <c r="C25" s="40" t="str">
        <f>обед!C24</f>
        <v>кг</v>
      </c>
      <c r="D25" s="81">
        <f>обед!D24</f>
        <v>153</v>
      </c>
      <c r="E25" s="46">
        <f>завтрак!AA24</f>
        <v>2640</v>
      </c>
      <c r="F25" s="43">
        <v>58</v>
      </c>
      <c r="G25" s="43">
        <f t="shared" si="4"/>
        <v>153.12</v>
      </c>
      <c r="H25" s="80">
        <f>обед!AA24</f>
        <v>1800</v>
      </c>
      <c r="I25" s="43">
        <v>49</v>
      </c>
      <c r="J25" s="43">
        <f t="shared" si="5"/>
        <v>88.2</v>
      </c>
      <c r="K25" s="43">
        <f t="shared" si="6"/>
        <v>241.32</v>
      </c>
      <c r="L25" s="44">
        <f t="shared" si="7"/>
        <v>36921.96</v>
      </c>
      <c r="M25" s="240">
        <v>3</v>
      </c>
      <c r="N25" s="45">
        <f t="shared" si="0"/>
        <v>238.32</v>
      </c>
      <c r="O25" s="44">
        <f t="shared" si="1"/>
        <v>36462.96</v>
      </c>
      <c r="P25" s="85">
        <f t="shared" si="3"/>
        <v>238</v>
      </c>
      <c r="Q25" s="52">
        <f t="shared" si="2"/>
        <v>36414</v>
      </c>
    </row>
    <row r="26" spans="1:17" ht="13.5">
      <c r="A26" s="38">
        <f>завтрак!A25</f>
        <v>23</v>
      </c>
      <c r="B26" s="39" t="str">
        <f>обед!B25</f>
        <v>Сухофрукты ассорти</v>
      </c>
      <c r="C26" s="40" t="str">
        <f>обед!C25</f>
        <v>кг</v>
      </c>
      <c r="D26" s="81">
        <f>обед!D25</f>
        <v>149</v>
      </c>
      <c r="E26" s="46">
        <f>завтрак!AA25</f>
        <v>0</v>
      </c>
      <c r="F26" s="43">
        <v>58</v>
      </c>
      <c r="G26" s="43">
        <f t="shared" si="4"/>
        <v>0</v>
      </c>
      <c r="H26" s="80">
        <f>обед!AA25</f>
        <v>756</v>
      </c>
      <c r="I26" s="43">
        <v>49</v>
      </c>
      <c r="J26" s="43">
        <f t="shared" si="5"/>
        <v>37.044</v>
      </c>
      <c r="K26" s="43">
        <f t="shared" si="6"/>
        <v>37.044</v>
      </c>
      <c r="L26" s="44">
        <f t="shared" si="7"/>
        <v>5519.56</v>
      </c>
      <c r="M26" s="240">
        <v>0.4</v>
      </c>
      <c r="N26" s="45">
        <f t="shared" si="0"/>
        <v>36.64</v>
      </c>
      <c r="O26" s="44">
        <f t="shared" si="1"/>
        <v>5459.36</v>
      </c>
      <c r="P26" s="85">
        <f t="shared" si="3"/>
        <v>37</v>
      </c>
      <c r="Q26" s="52">
        <f t="shared" si="2"/>
        <v>5513</v>
      </c>
    </row>
    <row r="27" spans="1:17" ht="13.5">
      <c r="A27" s="38">
        <f>завтрак!A26</f>
        <v>24</v>
      </c>
      <c r="B27" s="39" t="str">
        <f>обед!B26</f>
        <v>Изюм</v>
      </c>
      <c r="C27" s="40" t="str">
        <f>обед!C26</f>
        <v>кг</v>
      </c>
      <c r="D27" s="81">
        <f>обед!D26</f>
        <v>267</v>
      </c>
      <c r="E27" s="46">
        <f>завтрак!AA26</f>
        <v>0</v>
      </c>
      <c r="F27" s="43">
        <v>58</v>
      </c>
      <c r="G27" s="43">
        <f t="shared" si="4"/>
        <v>0</v>
      </c>
      <c r="H27" s="80">
        <f>обед!AA26</f>
        <v>0</v>
      </c>
      <c r="I27" s="43">
        <v>49</v>
      </c>
      <c r="J27" s="43">
        <f t="shared" si="5"/>
        <v>0</v>
      </c>
      <c r="K27" s="43">
        <f t="shared" si="6"/>
        <v>0</v>
      </c>
      <c r="L27" s="44">
        <f t="shared" si="7"/>
        <v>0</v>
      </c>
      <c r="M27" s="240"/>
      <c r="N27" s="45">
        <f t="shared" si="0"/>
        <v>0</v>
      </c>
      <c r="O27" s="44">
        <f t="shared" si="1"/>
        <v>0</v>
      </c>
      <c r="P27" s="85">
        <f t="shared" si="3"/>
        <v>0</v>
      </c>
      <c r="Q27" s="52">
        <f t="shared" si="2"/>
        <v>0</v>
      </c>
    </row>
    <row r="28" spans="1:17" ht="13.5">
      <c r="A28" s="38">
        <f>завтрак!A27</f>
        <v>25</v>
      </c>
      <c r="B28" s="39" t="str">
        <f>обед!B27</f>
        <v>Повидло фруктовое (1 сорт)</v>
      </c>
      <c r="C28" s="40" t="str">
        <f>обед!C27</f>
        <v>кг</v>
      </c>
      <c r="D28" s="81">
        <f>обед!D27</f>
        <v>109</v>
      </c>
      <c r="E28" s="46">
        <f>завтрак!AA27</f>
        <v>0</v>
      </c>
      <c r="F28" s="43">
        <v>58</v>
      </c>
      <c r="G28" s="43">
        <f t="shared" si="4"/>
        <v>0</v>
      </c>
      <c r="H28" s="80">
        <f>обед!AA27</f>
        <v>0</v>
      </c>
      <c r="I28" s="43">
        <v>49</v>
      </c>
      <c r="J28" s="43">
        <f t="shared" si="5"/>
        <v>0</v>
      </c>
      <c r="K28" s="43">
        <f t="shared" si="6"/>
        <v>0</v>
      </c>
      <c r="L28" s="44">
        <f t="shared" si="7"/>
        <v>0</v>
      </c>
      <c r="M28" s="240"/>
      <c r="N28" s="45">
        <f t="shared" si="0"/>
        <v>0</v>
      </c>
      <c r="O28" s="44">
        <f t="shared" si="1"/>
        <v>0</v>
      </c>
      <c r="P28" s="85">
        <f t="shared" si="3"/>
        <v>0</v>
      </c>
      <c r="Q28" s="52">
        <f t="shared" si="2"/>
        <v>0</v>
      </c>
    </row>
    <row r="29" spans="1:17" ht="13.5">
      <c r="A29" s="38">
        <f>завтрак!A28</f>
        <v>26</v>
      </c>
      <c r="B29" s="39" t="str">
        <f>обед!B28</f>
        <v>Сок фруктовый (1 литр)</v>
      </c>
      <c r="C29" s="40" t="str">
        <f>обед!C28</f>
        <v>л</v>
      </c>
      <c r="D29" s="81">
        <f>обед!D28</f>
        <v>62</v>
      </c>
      <c r="E29" s="46">
        <f>завтрак!AA28</f>
        <v>0</v>
      </c>
      <c r="F29" s="43">
        <v>58</v>
      </c>
      <c r="G29" s="43">
        <f t="shared" si="4"/>
        <v>0</v>
      </c>
      <c r="H29" s="80">
        <f>обед!AA28</f>
        <v>0</v>
      </c>
      <c r="I29" s="43">
        <v>49</v>
      </c>
      <c r="J29" s="43">
        <f t="shared" si="5"/>
        <v>0</v>
      </c>
      <c r="K29" s="43">
        <f t="shared" si="6"/>
        <v>0</v>
      </c>
      <c r="L29" s="44">
        <f t="shared" si="7"/>
        <v>0</v>
      </c>
      <c r="M29" s="240">
        <v>2</v>
      </c>
      <c r="N29" s="45">
        <f t="shared" si="0"/>
        <v>-2</v>
      </c>
      <c r="O29" s="44">
        <f t="shared" si="1"/>
        <v>-124</v>
      </c>
      <c r="P29" s="85">
        <v>0</v>
      </c>
      <c r="Q29" s="52">
        <f t="shared" si="2"/>
        <v>0</v>
      </c>
    </row>
    <row r="30" spans="1:17" ht="27">
      <c r="A30" s="38">
        <f>завтрак!A29</f>
        <v>27</v>
      </c>
      <c r="B30" s="39" t="str">
        <f>обед!B29</f>
        <v>Масло растительное, рафинированное</v>
      </c>
      <c r="C30" s="40" t="str">
        <f>обед!C29</f>
        <v>кг</v>
      </c>
      <c r="D30" s="81">
        <f>обед!D29</f>
        <v>147</v>
      </c>
      <c r="E30" s="46">
        <f>завтрак!AA29</f>
        <v>252</v>
      </c>
      <c r="F30" s="43">
        <v>58</v>
      </c>
      <c r="G30" s="43">
        <f t="shared" si="4"/>
        <v>14.616</v>
      </c>
      <c r="H30" s="80">
        <f>обед!AA29</f>
        <v>528</v>
      </c>
      <c r="I30" s="43">
        <v>49</v>
      </c>
      <c r="J30" s="43">
        <f t="shared" si="5"/>
        <v>25.872</v>
      </c>
      <c r="K30" s="43">
        <f t="shared" si="6"/>
        <v>40.488</v>
      </c>
      <c r="L30" s="44">
        <f t="shared" si="7"/>
        <v>5951.74</v>
      </c>
      <c r="M30" s="240">
        <v>0.8</v>
      </c>
      <c r="N30" s="45">
        <f t="shared" si="0"/>
        <v>39.69</v>
      </c>
      <c r="O30" s="44">
        <f t="shared" si="1"/>
        <v>5834.43</v>
      </c>
      <c r="P30" s="85">
        <f t="shared" si="3"/>
        <v>40</v>
      </c>
      <c r="Q30" s="52">
        <f t="shared" si="2"/>
        <v>5880</v>
      </c>
    </row>
    <row r="31" spans="1:17" ht="13.5">
      <c r="A31" s="38">
        <f>завтрак!A30</f>
        <v>28</v>
      </c>
      <c r="B31" s="39" t="str">
        <f>обед!B30</f>
        <v>Рыба с/м (1 сорт)</v>
      </c>
      <c r="C31" s="40" t="str">
        <f>обед!C30</f>
        <v>кг</v>
      </c>
      <c r="D31" s="81">
        <f>обед!D30</f>
        <v>205</v>
      </c>
      <c r="E31" s="46">
        <f>завтрак!AA30</f>
        <v>1344</v>
      </c>
      <c r="F31" s="43">
        <v>58</v>
      </c>
      <c r="G31" s="43">
        <f t="shared" si="4"/>
        <v>77.952</v>
      </c>
      <c r="H31" s="80">
        <f>обед!AA30</f>
        <v>1374</v>
      </c>
      <c r="I31" s="43">
        <v>49</v>
      </c>
      <c r="J31" s="43">
        <f t="shared" si="5"/>
        <v>67.326</v>
      </c>
      <c r="K31" s="43">
        <f t="shared" si="6"/>
        <v>145.278</v>
      </c>
      <c r="L31" s="44">
        <f t="shared" si="7"/>
        <v>29781.99</v>
      </c>
      <c r="M31" s="240">
        <v>9</v>
      </c>
      <c r="N31" s="45">
        <f t="shared" si="0"/>
        <v>136.28</v>
      </c>
      <c r="O31" s="44">
        <f t="shared" si="1"/>
        <v>27937.4</v>
      </c>
      <c r="P31" s="85">
        <f t="shared" si="3"/>
        <v>136</v>
      </c>
      <c r="Q31" s="52">
        <f t="shared" si="2"/>
        <v>27880</v>
      </c>
    </row>
    <row r="32" spans="1:17" ht="13.5">
      <c r="A32" s="38">
        <f>завтрак!A31</f>
        <v>29</v>
      </c>
      <c r="B32" s="39">
        <f>обед!B31</f>
        <v>0</v>
      </c>
      <c r="C32" s="40">
        <f>обед!C31</f>
        <v>0</v>
      </c>
      <c r="D32" s="81">
        <f>обед!D31</f>
        <v>0</v>
      </c>
      <c r="E32" s="46">
        <f>завтрак!AA31</f>
        <v>0</v>
      </c>
      <c r="F32" s="43">
        <v>58</v>
      </c>
      <c r="G32" s="43">
        <f t="shared" si="4"/>
        <v>0</v>
      </c>
      <c r="H32" s="80">
        <f>обед!AA31</f>
        <v>0</v>
      </c>
      <c r="I32" s="43">
        <v>49</v>
      </c>
      <c r="J32" s="43">
        <f t="shared" si="5"/>
        <v>0</v>
      </c>
      <c r="K32" s="43">
        <f t="shared" si="6"/>
        <v>0</v>
      </c>
      <c r="L32" s="44">
        <f t="shared" si="7"/>
        <v>0</v>
      </c>
      <c r="M32" s="240"/>
      <c r="N32" s="45">
        <f t="shared" si="0"/>
        <v>0</v>
      </c>
      <c r="O32" s="44">
        <f t="shared" si="1"/>
        <v>0</v>
      </c>
      <c r="P32" s="85">
        <f t="shared" si="3"/>
        <v>0</v>
      </c>
      <c r="Q32" s="52">
        <f t="shared" si="2"/>
        <v>0</v>
      </c>
    </row>
    <row r="33" spans="1:17" ht="27">
      <c r="A33" s="38">
        <f>завтрак!A32</f>
        <v>30</v>
      </c>
      <c r="B33" s="39" t="str">
        <f>обед!B32</f>
        <v>Мука пшеничная (высший сорт), в инд. уп.</v>
      </c>
      <c r="C33" s="40" t="str">
        <f>обед!C32</f>
        <v>кг</v>
      </c>
      <c r="D33" s="81">
        <f>обед!D32</f>
        <v>48</v>
      </c>
      <c r="E33" s="46">
        <f>завтрак!AA32</f>
        <v>798</v>
      </c>
      <c r="F33" s="43">
        <v>58</v>
      </c>
      <c r="G33" s="43">
        <f t="shared" si="4"/>
        <v>46.284</v>
      </c>
      <c r="H33" s="80">
        <f>обед!AA32</f>
        <v>144</v>
      </c>
      <c r="I33" s="43">
        <v>49</v>
      </c>
      <c r="J33" s="43">
        <f t="shared" si="5"/>
        <v>7.056</v>
      </c>
      <c r="K33" s="43">
        <f t="shared" si="6"/>
        <v>53.34</v>
      </c>
      <c r="L33" s="44">
        <f t="shared" si="7"/>
        <v>2560.32</v>
      </c>
      <c r="M33" s="240">
        <v>2</v>
      </c>
      <c r="N33" s="45">
        <f t="shared" si="0"/>
        <v>51.34</v>
      </c>
      <c r="O33" s="44">
        <f t="shared" si="1"/>
        <v>2464.32</v>
      </c>
      <c r="P33" s="85">
        <f t="shared" si="3"/>
        <v>51</v>
      </c>
      <c r="Q33" s="52">
        <f t="shared" si="2"/>
        <v>2448</v>
      </c>
    </row>
    <row r="34" spans="1:17" ht="13.5">
      <c r="A34" s="38">
        <f>завтрак!A33</f>
        <v>31</v>
      </c>
      <c r="B34" s="39" t="str">
        <f>обед!B33</f>
        <v>Крупа гречневая, в инд. уп.</v>
      </c>
      <c r="C34" s="40" t="str">
        <f>обед!C33</f>
        <v>кг</v>
      </c>
      <c r="D34" s="81">
        <f>обед!D33</f>
        <v>129</v>
      </c>
      <c r="E34" s="46">
        <f>завтрак!AA33</f>
        <v>282</v>
      </c>
      <c r="F34" s="43">
        <v>58</v>
      </c>
      <c r="G34" s="43">
        <f t="shared" si="4"/>
        <v>16.356</v>
      </c>
      <c r="H34" s="80">
        <f>обед!AA33</f>
        <v>312</v>
      </c>
      <c r="I34" s="43">
        <v>49</v>
      </c>
      <c r="J34" s="43">
        <f t="shared" si="5"/>
        <v>15.288</v>
      </c>
      <c r="K34" s="43">
        <f t="shared" si="6"/>
        <v>31.644</v>
      </c>
      <c r="L34" s="44">
        <f t="shared" si="7"/>
        <v>4082.08</v>
      </c>
      <c r="M34" s="240">
        <v>1</v>
      </c>
      <c r="N34" s="45">
        <f t="shared" si="0"/>
        <v>30.64</v>
      </c>
      <c r="O34" s="44">
        <f t="shared" si="1"/>
        <v>3952.56</v>
      </c>
      <c r="P34" s="85">
        <f t="shared" si="3"/>
        <v>31</v>
      </c>
      <c r="Q34" s="52">
        <f t="shared" si="2"/>
        <v>3999</v>
      </c>
    </row>
    <row r="35" spans="1:17" ht="13.5">
      <c r="A35" s="38">
        <f>завтрак!A34</f>
        <v>32</v>
      </c>
      <c r="B35" s="39" t="str">
        <f>обед!B34</f>
        <v>Крупа манная (1 сорт), в инд. уп.</v>
      </c>
      <c r="C35" s="40" t="str">
        <f>обед!C34</f>
        <v>кг</v>
      </c>
      <c r="D35" s="81">
        <f>обед!D34</f>
        <v>57</v>
      </c>
      <c r="E35" s="46">
        <f>завтрак!AA34</f>
        <v>120</v>
      </c>
      <c r="F35" s="43">
        <v>58</v>
      </c>
      <c r="G35" s="43">
        <f t="shared" si="4"/>
        <v>6.96</v>
      </c>
      <c r="H35" s="80">
        <f>обед!AA34</f>
        <v>0</v>
      </c>
      <c r="I35" s="43">
        <v>49</v>
      </c>
      <c r="J35" s="43">
        <f t="shared" si="5"/>
        <v>0</v>
      </c>
      <c r="K35" s="43">
        <f t="shared" si="6"/>
        <v>6.96</v>
      </c>
      <c r="L35" s="44">
        <f t="shared" si="7"/>
        <v>396.72</v>
      </c>
      <c r="M35" s="240">
        <v>0.4</v>
      </c>
      <c r="N35" s="45">
        <f t="shared" si="0"/>
        <v>6.56</v>
      </c>
      <c r="O35" s="44">
        <f t="shared" si="1"/>
        <v>373.92</v>
      </c>
      <c r="P35" s="85">
        <f t="shared" si="3"/>
        <v>7</v>
      </c>
      <c r="Q35" s="52">
        <f t="shared" si="2"/>
        <v>399</v>
      </c>
    </row>
    <row r="36" spans="1:17" ht="13.5">
      <c r="A36" s="38">
        <f>завтрак!A35</f>
        <v>33</v>
      </c>
      <c r="B36" s="39" t="str">
        <f>обед!B35</f>
        <v>Рис (1 сорт), в инд. уп.</v>
      </c>
      <c r="C36" s="40" t="str">
        <f>обед!C35</f>
        <v>кг</v>
      </c>
      <c r="D36" s="81">
        <f>обед!D35</f>
        <v>100</v>
      </c>
      <c r="E36" s="46">
        <f>завтрак!AA35</f>
        <v>264</v>
      </c>
      <c r="F36" s="43">
        <v>58</v>
      </c>
      <c r="G36" s="43">
        <f t="shared" si="4"/>
        <v>15.312</v>
      </c>
      <c r="H36" s="80">
        <f>обед!AA35</f>
        <v>330</v>
      </c>
      <c r="I36" s="43">
        <v>49</v>
      </c>
      <c r="J36" s="43">
        <f t="shared" si="5"/>
        <v>16.17</v>
      </c>
      <c r="K36" s="43">
        <f t="shared" si="6"/>
        <v>31.482</v>
      </c>
      <c r="L36" s="44">
        <f t="shared" si="7"/>
        <v>3148.2</v>
      </c>
      <c r="M36" s="240">
        <v>2</v>
      </c>
      <c r="N36" s="45">
        <f t="shared" si="0"/>
        <v>29.48</v>
      </c>
      <c r="O36" s="44">
        <f aca="true" t="shared" si="8" ref="O36:O57">N36*D36</f>
        <v>2948</v>
      </c>
      <c r="P36" s="85">
        <f t="shared" si="3"/>
        <v>29</v>
      </c>
      <c r="Q36" s="52">
        <f aca="true" t="shared" si="9" ref="Q36:Q57">P36*D36</f>
        <v>2900</v>
      </c>
    </row>
    <row r="37" spans="1:17" ht="15" customHeight="1">
      <c r="A37" s="38">
        <f>завтрак!A36</f>
        <v>34</v>
      </c>
      <c r="B37" s="39" t="str">
        <f>обед!B36</f>
        <v>Крупа пшеничная (1 сорт), в инд. уп.</v>
      </c>
      <c r="C37" s="40" t="str">
        <f>обед!C36</f>
        <v>кг</v>
      </c>
      <c r="D37" s="81">
        <f>обед!D36</f>
        <v>60</v>
      </c>
      <c r="E37" s="46">
        <f>завтрак!AA36</f>
        <v>0</v>
      </c>
      <c r="F37" s="43">
        <v>58</v>
      </c>
      <c r="G37" s="43">
        <f t="shared" si="4"/>
        <v>0</v>
      </c>
      <c r="H37" s="80">
        <f>обед!AA36</f>
        <v>186</v>
      </c>
      <c r="I37" s="43">
        <v>49</v>
      </c>
      <c r="J37" s="43">
        <f t="shared" si="5"/>
        <v>9.114</v>
      </c>
      <c r="K37" s="43">
        <f t="shared" si="6"/>
        <v>9.114</v>
      </c>
      <c r="L37" s="44">
        <f t="shared" si="7"/>
        <v>546.84</v>
      </c>
      <c r="M37" s="240"/>
      <c r="N37" s="45">
        <f t="shared" si="0"/>
        <v>9.11</v>
      </c>
      <c r="O37" s="44">
        <f t="shared" si="8"/>
        <v>546.6</v>
      </c>
      <c r="P37" s="85">
        <f t="shared" si="3"/>
        <v>9</v>
      </c>
      <c r="Q37" s="52">
        <f t="shared" si="9"/>
        <v>540</v>
      </c>
    </row>
    <row r="38" spans="1:17" ht="13.5">
      <c r="A38" s="38">
        <f>завтрак!A37</f>
        <v>35</v>
      </c>
      <c r="B38" s="39" t="str">
        <f>обед!B37</f>
        <v>Пшено (1 сорт), в инд. уп.</v>
      </c>
      <c r="C38" s="40" t="str">
        <f>обед!C37</f>
        <v>кг</v>
      </c>
      <c r="D38" s="81">
        <f>обед!D37</f>
        <v>59</v>
      </c>
      <c r="E38" s="46">
        <f>завтрак!AA37</f>
        <v>0</v>
      </c>
      <c r="F38" s="43">
        <v>58</v>
      </c>
      <c r="G38" s="43">
        <f t="shared" si="4"/>
        <v>0</v>
      </c>
      <c r="H38" s="80">
        <f>обед!AA37</f>
        <v>282</v>
      </c>
      <c r="I38" s="43">
        <v>49</v>
      </c>
      <c r="J38" s="43">
        <f t="shared" si="5"/>
        <v>13.818</v>
      </c>
      <c r="K38" s="43">
        <f t="shared" si="6"/>
        <v>13.818</v>
      </c>
      <c r="L38" s="44">
        <f t="shared" si="7"/>
        <v>815.26</v>
      </c>
      <c r="M38" s="240">
        <v>0.7</v>
      </c>
      <c r="N38" s="45">
        <f t="shared" si="0"/>
        <v>13.12</v>
      </c>
      <c r="O38" s="44">
        <f t="shared" si="8"/>
        <v>774.08</v>
      </c>
      <c r="P38" s="85">
        <f t="shared" si="3"/>
        <v>13</v>
      </c>
      <c r="Q38" s="52">
        <f t="shared" si="9"/>
        <v>767</v>
      </c>
    </row>
    <row r="39" spans="1:17" ht="13.5">
      <c r="A39" s="38">
        <f>завтрак!A38</f>
        <v>36</v>
      </c>
      <c r="B39" s="39" t="str">
        <f>обед!B38</f>
        <v>Горох шлифованный, в инд. уп.</v>
      </c>
      <c r="C39" s="40" t="str">
        <f>обед!C38</f>
        <v>кг</v>
      </c>
      <c r="D39" s="81">
        <f>обед!D38</f>
        <v>61</v>
      </c>
      <c r="E39" s="46">
        <f>завтрак!AA38</f>
        <v>0</v>
      </c>
      <c r="F39" s="43">
        <v>58</v>
      </c>
      <c r="G39" s="43">
        <f t="shared" si="4"/>
        <v>0</v>
      </c>
      <c r="H39" s="80">
        <f>обед!AA38</f>
        <v>204</v>
      </c>
      <c r="I39" s="43">
        <v>49</v>
      </c>
      <c r="J39" s="43">
        <f t="shared" si="5"/>
        <v>9.996</v>
      </c>
      <c r="K39" s="43">
        <f t="shared" si="6"/>
        <v>9.996</v>
      </c>
      <c r="L39" s="44">
        <f t="shared" si="7"/>
        <v>609.76</v>
      </c>
      <c r="M39" s="240">
        <v>0.7</v>
      </c>
      <c r="N39" s="45">
        <f t="shared" si="0"/>
        <v>9.3</v>
      </c>
      <c r="O39" s="44">
        <f t="shared" si="8"/>
        <v>567.3</v>
      </c>
      <c r="P39" s="85">
        <f t="shared" si="3"/>
        <v>9</v>
      </c>
      <c r="Q39" s="52">
        <f t="shared" si="9"/>
        <v>549</v>
      </c>
    </row>
    <row r="40" spans="1:17" ht="13.5">
      <c r="A40" s="38">
        <f>завтрак!A39</f>
        <v>37</v>
      </c>
      <c r="B40" s="39" t="str">
        <f>обед!B39</f>
        <v>Крупа перловая, в инд. уп.</v>
      </c>
      <c r="C40" s="40" t="str">
        <f>обед!C39</f>
        <v>кг</v>
      </c>
      <c r="D40" s="81">
        <f>обед!D39</f>
        <v>51</v>
      </c>
      <c r="E40" s="46">
        <f>завтрак!AA39</f>
        <v>0</v>
      </c>
      <c r="F40" s="43">
        <v>58</v>
      </c>
      <c r="G40" s="43">
        <f t="shared" si="4"/>
        <v>0</v>
      </c>
      <c r="H40" s="80">
        <f>обед!AA39</f>
        <v>42</v>
      </c>
      <c r="I40" s="43">
        <v>49</v>
      </c>
      <c r="J40" s="43">
        <f t="shared" si="5"/>
        <v>2.058</v>
      </c>
      <c r="K40" s="43">
        <f t="shared" si="6"/>
        <v>2.058</v>
      </c>
      <c r="L40" s="44">
        <f t="shared" si="7"/>
        <v>104.96</v>
      </c>
      <c r="M40" s="240"/>
      <c r="N40" s="45">
        <f t="shared" si="0"/>
        <v>2.06</v>
      </c>
      <c r="O40" s="44">
        <f t="shared" si="8"/>
        <v>105.06</v>
      </c>
      <c r="P40" s="85">
        <f t="shared" si="3"/>
        <v>2</v>
      </c>
      <c r="Q40" s="52">
        <f t="shared" si="9"/>
        <v>102</v>
      </c>
    </row>
    <row r="41" spans="1:17" ht="13.5">
      <c r="A41" s="38">
        <f>завтрак!A40</f>
        <v>38</v>
      </c>
      <c r="B41" s="39" t="str">
        <f>обед!B40</f>
        <v>Крупа ячневая, в инд. уп.</v>
      </c>
      <c r="C41" s="40" t="str">
        <f>обед!C40</f>
        <v>кг</v>
      </c>
      <c r="D41" s="81">
        <f>обед!D40</f>
        <v>53</v>
      </c>
      <c r="E41" s="46">
        <f>завтрак!AA40</f>
        <v>0</v>
      </c>
      <c r="F41" s="43">
        <v>58</v>
      </c>
      <c r="G41" s="43">
        <f t="shared" si="4"/>
        <v>0</v>
      </c>
      <c r="H41" s="80">
        <f>обед!AA40</f>
        <v>0</v>
      </c>
      <c r="I41" s="43">
        <v>49</v>
      </c>
      <c r="J41" s="43">
        <f t="shared" si="5"/>
        <v>0</v>
      </c>
      <c r="K41" s="43">
        <f t="shared" si="6"/>
        <v>0</v>
      </c>
      <c r="L41" s="44">
        <f t="shared" si="7"/>
        <v>0</v>
      </c>
      <c r="M41" s="240"/>
      <c r="N41" s="45">
        <f t="shared" si="0"/>
        <v>0</v>
      </c>
      <c r="O41" s="44">
        <f t="shared" si="8"/>
        <v>0</v>
      </c>
      <c r="P41" s="85">
        <f t="shared" si="3"/>
        <v>0</v>
      </c>
      <c r="Q41" s="52">
        <f t="shared" si="9"/>
        <v>0</v>
      </c>
    </row>
    <row r="42" spans="1:17" ht="13.5">
      <c r="A42" s="38">
        <f>завтрак!A41</f>
        <v>39</v>
      </c>
      <c r="B42" s="39" t="str">
        <f>обед!B41</f>
        <v>Хлопья "Геркулес", в инд. уп.</v>
      </c>
      <c r="C42" s="40" t="str">
        <f>обед!C41</f>
        <v>кг</v>
      </c>
      <c r="D42" s="81">
        <f>обед!D41</f>
        <v>78</v>
      </c>
      <c r="E42" s="46">
        <f>завтрак!AA41</f>
        <v>0</v>
      </c>
      <c r="F42" s="43">
        <v>58</v>
      </c>
      <c r="G42" s="43">
        <f t="shared" si="4"/>
        <v>0</v>
      </c>
      <c r="H42" s="80">
        <f>обед!AA41</f>
        <v>0</v>
      </c>
      <c r="I42" s="43">
        <v>49</v>
      </c>
      <c r="J42" s="43">
        <f t="shared" si="5"/>
        <v>0</v>
      </c>
      <c r="K42" s="43">
        <f t="shared" si="6"/>
        <v>0</v>
      </c>
      <c r="L42" s="44">
        <f t="shared" si="7"/>
        <v>0</v>
      </c>
      <c r="M42" s="240"/>
      <c r="N42" s="45">
        <f t="shared" si="0"/>
        <v>0</v>
      </c>
      <c r="O42" s="44">
        <f t="shared" si="8"/>
        <v>0</v>
      </c>
      <c r="P42" s="85">
        <f t="shared" si="3"/>
        <v>0</v>
      </c>
      <c r="Q42" s="52">
        <f t="shared" si="9"/>
        <v>0</v>
      </c>
    </row>
    <row r="43" spans="1:17" ht="13.5">
      <c r="A43" s="38">
        <f>завтрак!A42</f>
        <v>40</v>
      </c>
      <c r="B43" s="39" t="str">
        <f>обед!B42</f>
        <v>Сахар-песок, в инд. уп.</v>
      </c>
      <c r="C43" s="40" t="str">
        <f>обед!C42</f>
        <v>кг</v>
      </c>
      <c r="D43" s="81">
        <f>обед!D42</f>
        <v>94</v>
      </c>
      <c r="E43" s="46">
        <f>завтрак!AA42</f>
        <v>870</v>
      </c>
      <c r="F43" s="43">
        <v>58</v>
      </c>
      <c r="G43" s="43">
        <f t="shared" si="4"/>
        <v>50.46</v>
      </c>
      <c r="H43" s="80">
        <f>обед!AA42</f>
        <v>768</v>
      </c>
      <c r="I43" s="43">
        <v>49</v>
      </c>
      <c r="J43" s="43">
        <f t="shared" si="5"/>
        <v>37.632</v>
      </c>
      <c r="K43" s="43">
        <f t="shared" si="6"/>
        <v>88.092</v>
      </c>
      <c r="L43" s="44">
        <f t="shared" si="7"/>
        <v>8280.65</v>
      </c>
      <c r="M43" s="240">
        <v>4</v>
      </c>
      <c r="N43" s="45">
        <f t="shared" si="0"/>
        <v>84.09</v>
      </c>
      <c r="O43" s="44">
        <f t="shared" si="8"/>
        <v>7904.46</v>
      </c>
      <c r="P43" s="85">
        <f t="shared" si="3"/>
        <v>84</v>
      </c>
      <c r="Q43" s="52">
        <f t="shared" si="9"/>
        <v>7896</v>
      </c>
    </row>
    <row r="44" spans="1:17" ht="13.5">
      <c r="A44" s="38">
        <f>завтрак!A43</f>
        <v>41</v>
      </c>
      <c r="B44" s="39" t="str">
        <f>обед!B43</f>
        <v>Макароны (высший сорт), в инд. уп.</v>
      </c>
      <c r="C44" s="40" t="str">
        <f>обед!C43</f>
        <v>кг</v>
      </c>
      <c r="D44" s="81">
        <f>обед!D43</f>
        <v>65</v>
      </c>
      <c r="E44" s="46">
        <f>завтрак!AA43</f>
        <v>276</v>
      </c>
      <c r="F44" s="43">
        <v>58</v>
      </c>
      <c r="G44" s="43">
        <f t="shared" si="4"/>
        <v>16.008</v>
      </c>
      <c r="H44" s="80">
        <f>обед!AA43</f>
        <v>270</v>
      </c>
      <c r="I44" s="43">
        <v>49</v>
      </c>
      <c r="J44" s="43">
        <f t="shared" si="5"/>
        <v>13.23</v>
      </c>
      <c r="K44" s="43">
        <f t="shared" si="6"/>
        <v>29.238</v>
      </c>
      <c r="L44" s="44">
        <f t="shared" si="7"/>
        <v>1900.47</v>
      </c>
      <c r="M44" s="240">
        <v>1</v>
      </c>
      <c r="N44" s="45">
        <f t="shared" si="0"/>
        <v>28.24</v>
      </c>
      <c r="O44" s="44">
        <f t="shared" si="8"/>
        <v>1835.6</v>
      </c>
      <c r="P44" s="85">
        <f t="shared" si="3"/>
        <v>28</v>
      </c>
      <c r="Q44" s="52">
        <f t="shared" si="9"/>
        <v>1820</v>
      </c>
    </row>
    <row r="45" spans="1:17" ht="15" customHeight="1">
      <c r="A45" s="38">
        <f>завтрак!A44</f>
        <v>42</v>
      </c>
      <c r="B45" s="39" t="str">
        <f>обед!B44</f>
        <v>Вермишель (высший сорт), в инд. уп.</v>
      </c>
      <c r="C45" s="40" t="str">
        <f>обед!C44</f>
        <v>кг</v>
      </c>
      <c r="D45" s="81">
        <f>обед!D44</f>
        <v>67</v>
      </c>
      <c r="E45" s="46">
        <f>завтрак!AA44</f>
        <v>0</v>
      </c>
      <c r="F45" s="43">
        <v>58</v>
      </c>
      <c r="G45" s="43">
        <f t="shared" si="4"/>
        <v>0</v>
      </c>
      <c r="H45" s="80">
        <f>обед!AA44</f>
        <v>102</v>
      </c>
      <c r="I45" s="43">
        <v>49</v>
      </c>
      <c r="J45" s="43">
        <f t="shared" si="5"/>
        <v>4.998</v>
      </c>
      <c r="K45" s="43">
        <f t="shared" si="6"/>
        <v>4.998</v>
      </c>
      <c r="L45" s="44">
        <f t="shared" si="7"/>
        <v>334.87</v>
      </c>
      <c r="M45" s="240">
        <v>2</v>
      </c>
      <c r="N45" s="45">
        <f t="shared" si="0"/>
        <v>3</v>
      </c>
      <c r="O45" s="44">
        <f t="shared" si="8"/>
        <v>201</v>
      </c>
      <c r="P45" s="85">
        <f t="shared" si="3"/>
        <v>3</v>
      </c>
      <c r="Q45" s="52">
        <f t="shared" si="9"/>
        <v>201</v>
      </c>
    </row>
    <row r="46" spans="1:17" ht="13.5">
      <c r="A46" s="38">
        <f>завтрак!A45</f>
        <v>43</v>
      </c>
      <c r="B46" s="39" t="str">
        <f>обед!B45</f>
        <v>Дрожжи сухие</v>
      </c>
      <c r="C46" s="40" t="str">
        <f>обед!C45</f>
        <v>кг</v>
      </c>
      <c r="D46" s="81">
        <f>обед!D45</f>
        <v>346</v>
      </c>
      <c r="E46" s="46">
        <f>завтрак!AA45</f>
        <v>24</v>
      </c>
      <c r="F46" s="43">
        <v>58</v>
      </c>
      <c r="G46" s="43">
        <f t="shared" si="4"/>
        <v>1.392</v>
      </c>
      <c r="H46" s="80">
        <f>обед!AA45</f>
        <v>0</v>
      </c>
      <c r="I46" s="43">
        <v>49</v>
      </c>
      <c r="J46" s="43">
        <f t="shared" si="5"/>
        <v>0</v>
      </c>
      <c r="K46" s="43">
        <f t="shared" si="6"/>
        <v>1.392</v>
      </c>
      <c r="L46" s="44">
        <f t="shared" si="7"/>
        <v>481.63</v>
      </c>
      <c r="M46" s="240"/>
      <c r="N46" s="45">
        <f t="shared" si="0"/>
        <v>1.39</v>
      </c>
      <c r="O46" s="44">
        <f t="shared" si="8"/>
        <v>480.94</v>
      </c>
      <c r="P46" s="255">
        <f t="shared" si="3"/>
        <v>1.4</v>
      </c>
      <c r="Q46" s="52">
        <f t="shared" si="9"/>
        <v>484.4</v>
      </c>
    </row>
    <row r="47" spans="1:17" ht="13.5">
      <c r="A47" s="38">
        <f>завтрак!A46</f>
        <v>44</v>
      </c>
      <c r="B47" s="39" t="str">
        <f>обед!B46</f>
        <v>Соль йодированная</v>
      </c>
      <c r="C47" s="40" t="str">
        <f>обед!C46</f>
        <v>кг</v>
      </c>
      <c r="D47" s="81">
        <f>обед!D46</f>
        <v>23</v>
      </c>
      <c r="E47" s="46">
        <f>завтрак!AA46</f>
        <v>192</v>
      </c>
      <c r="F47" s="43">
        <v>58</v>
      </c>
      <c r="G47" s="43">
        <f t="shared" si="4"/>
        <v>11.136</v>
      </c>
      <c r="H47" s="80">
        <f>обед!AA46</f>
        <v>177</v>
      </c>
      <c r="I47" s="43">
        <v>49</v>
      </c>
      <c r="J47" s="43">
        <f t="shared" si="5"/>
        <v>8.673</v>
      </c>
      <c r="K47" s="43">
        <f t="shared" si="6"/>
        <v>19.809</v>
      </c>
      <c r="L47" s="44">
        <f t="shared" si="7"/>
        <v>455.61</v>
      </c>
      <c r="M47" s="240"/>
      <c r="N47" s="45">
        <f t="shared" si="0"/>
        <v>19.81</v>
      </c>
      <c r="O47" s="44">
        <f t="shared" si="8"/>
        <v>455.63</v>
      </c>
      <c r="P47" s="85">
        <f t="shared" si="3"/>
        <v>20</v>
      </c>
      <c r="Q47" s="52">
        <f t="shared" si="9"/>
        <v>460</v>
      </c>
    </row>
    <row r="48" spans="1:17" ht="13.5">
      <c r="A48" s="38">
        <f>завтрак!A47</f>
        <v>45</v>
      </c>
      <c r="B48" s="39" t="str">
        <f>обед!B47</f>
        <v>Кисель фруктовый (концентрат)</v>
      </c>
      <c r="C48" s="40" t="str">
        <f>обед!C47</f>
        <v>кг</v>
      </c>
      <c r="D48" s="81">
        <f>обед!D47</f>
        <v>212</v>
      </c>
      <c r="E48" s="46">
        <f>завтрак!AA47</f>
        <v>0</v>
      </c>
      <c r="F48" s="43">
        <v>58</v>
      </c>
      <c r="G48" s="43">
        <f t="shared" si="4"/>
        <v>0</v>
      </c>
      <c r="H48" s="80">
        <f>обед!AA47</f>
        <v>108</v>
      </c>
      <c r="I48" s="43">
        <v>49</v>
      </c>
      <c r="J48" s="43">
        <f t="shared" si="5"/>
        <v>5.292</v>
      </c>
      <c r="K48" s="43">
        <f t="shared" si="6"/>
        <v>5.292</v>
      </c>
      <c r="L48" s="44">
        <f t="shared" si="7"/>
        <v>1121.9</v>
      </c>
      <c r="M48" s="240"/>
      <c r="N48" s="45">
        <f t="shared" si="0"/>
        <v>5.29</v>
      </c>
      <c r="O48" s="44">
        <f t="shared" si="8"/>
        <v>1121.48</v>
      </c>
      <c r="P48" s="85">
        <f t="shared" si="3"/>
        <v>5</v>
      </c>
      <c r="Q48" s="52">
        <f t="shared" si="9"/>
        <v>1060</v>
      </c>
    </row>
    <row r="49" spans="1:17" ht="13.5">
      <c r="A49" s="38">
        <f>завтрак!A48</f>
        <v>46</v>
      </c>
      <c r="B49" s="39" t="str">
        <f>обед!B48</f>
        <v>Кофейный напиток (ячменный)</v>
      </c>
      <c r="C49" s="40" t="str">
        <f>обед!C48</f>
        <v>кг</v>
      </c>
      <c r="D49" s="81">
        <f>обед!D48</f>
        <v>501</v>
      </c>
      <c r="E49" s="46">
        <f>завтрак!AA48</f>
        <v>54</v>
      </c>
      <c r="F49" s="43">
        <v>58</v>
      </c>
      <c r="G49" s="43">
        <f t="shared" si="4"/>
        <v>3.132</v>
      </c>
      <c r="H49" s="80">
        <f>обед!AA48</f>
        <v>0</v>
      </c>
      <c r="I49" s="43">
        <v>49</v>
      </c>
      <c r="J49" s="43">
        <f t="shared" si="5"/>
        <v>0</v>
      </c>
      <c r="K49" s="43">
        <f t="shared" si="6"/>
        <v>3.132</v>
      </c>
      <c r="L49" s="44">
        <f t="shared" si="7"/>
        <v>1569.13</v>
      </c>
      <c r="M49" s="240"/>
      <c r="N49" s="45">
        <f t="shared" si="0"/>
        <v>3.13</v>
      </c>
      <c r="O49" s="44">
        <f t="shared" si="8"/>
        <v>1568.13</v>
      </c>
      <c r="P49" s="255">
        <f t="shared" si="3"/>
        <v>3.1</v>
      </c>
      <c r="Q49" s="52">
        <f t="shared" si="9"/>
        <v>1553.1</v>
      </c>
    </row>
    <row r="50" spans="1:17" ht="13.5">
      <c r="A50" s="38">
        <f>завтрак!A49</f>
        <v>47</v>
      </c>
      <c r="B50" s="39" t="str">
        <f>обед!B49</f>
        <v>Какао порошок</v>
      </c>
      <c r="C50" s="40" t="str">
        <f>обед!C49</f>
        <v>кг</v>
      </c>
      <c r="D50" s="81">
        <f>обед!D49</f>
        <v>409</v>
      </c>
      <c r="E50" s="46">
        <f>завтрак!AA49</f>
        <v>36</v>
      </c>
      <c r="F50" s="43">
        <v>58</v>
      </c>
      <c r="G50" s="43">
        <f t="shared" si="4"/>
        <v>2.088</v>
      </c>
      <c r="H50" s="80">
        <f>обед!AA49</f>
        <v>0</v>
      </c>
      <c r="I50" s="43">
        <v>49</v>
      </c>
      <c r="J50" s="43">
        <f t="shared" si="5"/>
        <v>0</v>
      </c>
      <c r="K50" s="43">
        <f t="shared" si="6"/>
        <v>2.088</v>
      </c>
      <c r="L50" s="44">
        <f t="shared" si="7"/>
        <v>853.99</v>
      </c>
      <c r="M50" s="240">
        <v>0.4</v>
      </c>
      <c r="N50" s="45">
        <f t="shared" si="0"/>
        <v>1.69</v>
      </c>
      <c r="O50" s="44">
        <f t="shared" si="8"/>
        <v>691.21</v>
      </c>
      <c r="P50" s="255">
        <f t="shared" si="3"/>
        <v>1.7</v>
      </c>
      <c r="Q50" s="52">
        <f t="shared" si="9"/>
        <v>695.3</v>
      </c>
    </row>
    <row r="51" spans="1:17" ht="13.5">
      <c r="A51" s="38">
        <f>завтрак!A50</f>
        <v>48</v>
      </c>
      <c r="B51" s="39" t="str">
        <f>обед!B50</f>
        <v>Чай черный (1 сорт)</v>
      </c>
      <c r="C51" s="40" t="str">
        <f>обед!C50</f>
        <v>кг</v>
      </c>
      <c r="D51" s="81">
        <f>обед!D50</f>
        <v>514</v>
      </c>
      <c r="E51" s="46">
        <f>завтрак!AA50</f>
        <v>28.8</v>
      </c>
      <c r="F51" s="43">
        <v>58</v>
      </c>
      <c r="G51" s="43">
        <f t="shared" si="4"/>
        <v>1.6704</v>
      </c>
      <c r="H51" s="80">
        <f>обед!AA50</f>
        <v>0</v>
      </c>
      <c r="I51" s="43">
        <v>49</v>
      </c>
      <c r="J51" s="43">
        <f t="shared" si="5"/>
        <v>0</v>
      </c>
      <c r="K51" s="43">
        <f t="shared" si="6"/>
        <v>1.6704</v>
      </c>
      <c r="L51" s="44">
        <f t="shared" si="7"/>
        <v>858.59</v>
      </c>
      <c r="M51" s="240"/>
      <c r="N51" s="45">
        <f t="shared" si="0"/>
        <v>1.67</v>
      </c>
      <c r="O51" s="44">
        <f t="shared" si="8"/>
        <v>858.38</v>
      </c>
      <c r="P51" s="255">
        <f t="shared" si="3"/>
        <v>1.7</v>
      </c>
      <c r="Q51" s="52">
        <f t="shared" si="9"/>
        <v>873.8</v>
      </c>
    </row>
    <row r="52" spans="1:17" ht="13.5">
      <c r="A52" s="38">
        <f>завтрак!A51</f>
        <v>49</v>
      </c>
      <c r="B52" s="39" t="str">
        <f>обед!B51</f>
        <v>Лавровый лист</v>
      </c>
      <c r="C52" s="40" t="str">
        <f>обед!C51</f>
        <v>кг</v>
      </c>
      <c r="D52" s="81">
        <f>обед!D51</f>
        <v>508</v>
      </c>
      <c r="E52" s="46">
        <f>завтрак!AA51</f>
        <v>0</v>
      </c>
      <c r="F52" s="43">
        <v>58</v>
      </c>
      <c r="G52" s="43">
        <f t="shared" si="4"/>
        <v>0</v>
      </c>
      <c r="H52" s="80">
        <f>обед!AA51</f>
        <v>1.2</v>
      </c>
      <c r="I52" s="43">
        <v>49</v>
      </c>
      <c r="J52" s="43">
        <f t="shared" si="5"/>
        <v>0.0588</v>
      </c>
      <c r="K52" s="43">
        <f t="shared" si="6"/>
        <v>0.0588</v>
      </c>
      <c r="L52" s="44">
        <f t="shared" si="7"/>
        <v>29.87</v>
      </c>
      <c r="M52" s="240"/>
      <c r="N52" s="45">
        <f t="shared" si="0"/>
        <v>0.06</v>
      </c>
      <c r="O52" s="44">
        <f t="shared" si="8"/>
        <v>30.48</v>
      </c>
      <c r="P52" s="255">
        <f t="shared" si="3"/>
        <v>0.1</v>
      </c>
      <c r="Q52" s="52">
        <f t="shared" si="9"/>
        <v>50.8</v>
      </c>
    </row>
    <row r="53" spans="1:17" ht="13.5">
      <c r="A53" s="38">
        <f>завтрак!A52</f>
        <v>50</v>
      </c>
      <c r="B53" s="39" t="str">
        <f>обед!B52</f>
        <v>Хлеб "Городской новый"</v>
      </c>
      <c r="C53" s="40" t="str">
        <f>обед!C52</f>
        <v>кг</v>
      </c>
      <c r="D53" s="81">
        <f>обед!D52</f>
        <v>48</v>
      </c>
      <c r="E53" s="46">
        <f>завтрак!AA52</f>
        <v>2562</v>
      </c>
      <c r="F53" s="43">
        <v>58</v>
      </c>
      <c r="G53" s="43">
        <f t="shared" si="4"/>
        <v>148.596</v>
      </c>
      <c r="H53" s="80">
        <f>обед!AA52</f>
        <v>3204</v>
      </c>
      <c r="I53" s="43">
        <v>49</v>
      </c>
      <c r="J53" s="43">
        <f t="shared" si="5"/>
        <v>156.996</v>
      </c>
      <c r="K53" s="43">
        <f t="shared" si="6"/>
        <v>305.592</v>
      </c>
      <c r="L53" s="44">
        <f t="shared" si="7"/>
        <v>14668.42</v>
      </c>
      <c r="M53" s="240"/>
      <c r="N53" s="45">
        <f t="shared" si="0"/>
        <v>305.59</v>
      </c>
      <c r="O53" s="44">
        <f t="shared" si="8"/>
        <v>14668.32</v>
      </c>
      <c r="P53" s="255">
        <v>305.5</v>
      </c>
      <c r="Q53" s="52">
        <f t="shared" si="9"/>
        <v>14664</v>
      </c>
    </row>
    <row r="54" spans="1:17" ht="13.5">
      <c r="A54" s="38">
        <f>завтрак!A53</f>
        <v>51</v>
      </c>
      <c r="B54" s="39">
        <f>обед!B53</f>
        <v>0</v>
      </c>
      <c r="C54" s="40">
        <f>обед!C53</f>
        <v>0</v>
      </c>
      <c r="D54" s="81">
        <f>обед!D53</f>
        <v>0</v>
      </c>
      <c r="E54" s="46">
        <f>завтрак!AA53</f>
        <v>0</v>
      </c>
      <c r="F54" s="43">
        <v>58</v>
      </c>
      <c r="G54" s="43">
        <f t="shared" si="4"/>
        <v>0</v>
      </c>
      <c r="H54" s="80">
        <f>обед!AA53</f>
        <v>0</v>
      </c>
      <c r="I54" s="43">
        <v>49</v>
      </c>
      <c r="J54" s="43">
        <f t="shared" si="5"/>
        <v>0</v>
      </c>
      <c r="K54" s="43">
        <f t="shared" si="6"/>
        <v>0</v>
      </c>
      <c r="L54" s="44">
        <f t="shared" si="7"/>
        <v>0</v>
      </c>
      <c r="M54" s="240"/>
      <c r="N54" s="45">
        <f t="shared" si="0"/>
        <v>0</v>
      </c>
      <c r="O54" s="44">
        <f t="shared" si="8"/>
        <v>0</v>
      </c>
      <c r="P54" s="85">
        <f t="shared" si="3"/>
        <v>0</v>
      </c>
      <c r="Q54" s="52">
        <f t="shared" si="9"/>
        <v>0</v>
      </c>
    </row>
    <row r="55" spans="1:17" ht="13.5">
      <c r="A55" s="38">
        <f>завтрак!A54</f>
        <v>52</v>
      </c>
      <c r="B55" s="39" t="str">
        <f>обед!B54</f>
        <v>Печенье в ассортименте</v>
      </c>
      <c r="C55" s="40" t="str">
        <f>обед!C54</f>
        <v>кг</v>
      </c>
      <c r="D55" s="81">
        <f>обед!D54</f>
        <v>159</v>
      </c>
      <c r="E55" s="46">
        <f>завтрак!AA54</f>
        <v>150</v>
      </c>
      <c r="F55" s="43">
        <v>58</v>
      </c>
      <c r="G55" s="43">
        <f t="shared" si="4"/>
        <v>8.7</v>
      </c>
      <c r="H55" s="80">
        <f>обед!AA54</f>
        <v>300</v>
      </c>
      <c r="I55" s="43">
        <v>49</v>
      </c>
      <c r="J55" s="43">
        <f t="shared" si="5"/>
        <v>14.7</v>
      </c>
      <c r="K55" s="43">
        <f t="shared" si="6"/>
        <v>23.4</v>
      </c>
      <c r="L55" s="44">
        <f t="shared" si="7"/>
        <v>3720.6</v>
      </c>
      <c r="M55" s="240"/>
      <c r="N55" s="45">
        <f t="shared" si="0"/>
        <v>23.4</v>
      </c>
      <c r="O55" s="44">
        <f t="shared" si="8"/>
        <v>3720.6</v>
      </c>
      <c r="P55" s="85">
        <f t="shared" si="3"/>
        <v>23</v>
      </c>
      <c r="Q55" s="52">
        <f t="shared" si="9"/>
        <v>3657</v>
      </c>
    </row>
    <row r="56" spans="1:17" ht="15.75" customHeight="1">
      <c r="A56" s="38">
        <f>завтрак!A55</f>
        <v>53</v>
      </c>
      <c r="B56" s="39">
        <f>обед!B55</f>
        <v>0</v>
      </c>
      <c r="C56" s="40">
        <f>обед!C55</f>
        <v>0</v>
      </c>
      <c r="D56" s="81">
        <f>обед!D55</f>
        <v>0</v>
      </c>
      <c r="E56" s="46">
        <f>завтрак!AA55</f>
        <v>0</v>
      </c>
      <c r="F56" s="43">
        <v>58</v>
      </c>
      <c r="G56" s="43">
        <f>E56*F56/1000</f>
        <v>0</v>
      </c>
      <c r="H56" s="80">
        <f>обед!AA55</f>
        <v>0</v>
      </c>
      <c r="I56" s="43">
        <v>49</v>
      </c>
      <c r="J56" s="43">
        <f>H56*I56/1000</f>
        <v>0</v>
      </c>
      <c r="K56" s="43">
        <f t="shared" si="6"/>
        <v>0</v>
      </c>
      <c r="L56" s="44">
        <f t="shared" si="7"/>
        <v>0</v>
      </c>
      <c r="M56" s="240"/>
      <c r="N56" s="45">
        <f>K56-M56</f>
        <v>0</v>
      </c>
      <c r="O56" s="44">
        <f t="shared" si="8"/>
        <v>0</v>
      </c>
      <c r="P56" s="85">
        <f t="shared" si="3"/>
        <v>0</v>
      </c>
      <c r="Q56" s="52">
        <f t="shared" si="9"/>
        <v>0</v>
      </c>
    </row>
    <row r="57" spans="1:17" ht="13.5">
      <c r="A57" s="38">
        <f>завтрак!A56</f>
        <v>54</v>
      </c>
      <c r="B57" s="39" t="str">
        <f>обед!B56</f>
        <v>Пряник </v>
      </c>
      <c r="C57" s="40" t="str">
        <f>обед!C56</f>
        <v>кг</v>
      </c>
      <c r="D57" s="81">
        <f>обед!D56</f>
        <v>179</v>
      </c>
      <c r="E57" s="46">
        <f>завтрак!AA56</f>
        <v>0</v>
      </c>
      <c r="F57" s="43">
        <v>58</v>
      </c>
      <c r="G57" s="43">
        <f>E57*F57/1000</f>
        <v>0</v>
      </c>
      <c r="H57" s="80">
        <f>обед!AA56</f>
        <v>0</v>
      </c>
      <c r="I57" s="43">
        <v>49</v>
      </c>
      <c r="J57" s="43">
        <f>H57*I57/1000</f>
        <v>0</v>
      </c>
      <c r="K57" s="43">
        <f t="shared" si="6"/>
        <v>0</v>
      </c>
      <c r="L57" s="44">
        <f t="shared" si="7"/>
        <v>0</v>
      </c>
      <c r="M57" s="240"/>
      <c r="N57" s="45">
        <f>K57-M57</f>
        <v>0</v>
      </c>
      <c r="O57" s="44">
        <f t="shared" si="8"/>
        <v>0</v>
      </c>
      <c r="P57" s="85">
        <f t="shared" si="3"/>
        <v>0</v>
      </c>
      <c r="Q57" s="52">
        <f t="shared" si="9"/>
        <v>0</v>
      </c>
    </row>
    <row r="58" spans="1:17" ht="13.5">
      <c r="A58" s="272" t="s">
        <v>62</v>
      </c>
      <c r="B58" s="273"/>
      <c r="C58" s="274"/>
      <c r="D58" s="46"/>
      <c r="E58" s="41"/>
      <c r="F58" s="42"/>
      <c r="G58" s="42"/>
      <c r="H58" s="47"/>
      <c r="I58" s="42"/>
      <c r="J58" s="42"/>
      <c r="K58" s="43"/>
      <c r="L58" s="45">
        <f>SUM(L4:L57)</f>
        <v>417663.32</v>
      </c>
      <c r="M58" s="241"/>
      <c r="N58" s="86">
        <f>SUM(N4:N57)</f>
        <v>4343.69</v>
      </c>
      <c r="O58" s="84">
        <f>SUM(O4:O57)</f>
        <v>407146.1</v>
      </c>
      <c r="P58" s="253">
        <f>SUM(P4:P57)</f>
        <v>4350</v>
      </c>
      <c r="Q58" s="250">
        <f>SUM(Q4:Q57)</f>
        <v>408014</v>
      </c>
    </row>
    <row r="59" spans="1:16" ht="13.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242"/>
      <c r="N59" s="64"/>
      <c r="O59" s="64"/>
      <c r="P59" s="254"/>
    </row>
    <row r="60" spans="1:16" ht="13.5">
      <c r="A60" s="64"/>
      <c r="B60" s="64"/>
      <c r="C60" s="64"/>
      <c r="D60" s="64"/>
      <c r="E60" s="65"/>
      <c r="F60" s="64"/>
      <c r="G60" s="64"/>
      <c r="H60" s="65"/>
      <c r="I60" s="64"/>
      <c r="J60" s="64"/>
      <c r="K60" s="65"/>
      <c r="L60" s="64"/>
      <c r="M60" s="242"/>
      <c r="N60" s="64"/>
      <c r="O60" s="64"/>
      <c r="P60" s="254"/>
    </row>
  </sheetData>
  <sheetProtection/>
  <mergeCells count="2">
    <mergeCell ref="A58:C58"/>
    <mergeCell ref="A1:P1"/>
  </mergeCells>
  <printOptions/>
  <pageMargins left="0.7086614173228347" right="0.7086614173228347" top="0.5118110236220472" bottom="0.5905511811023623" header="0.31496062992125984" footer="0.31496062992125984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O59"/>
  <sheetViews>
    <sheetView workbookViewId="0" topLeftCell="A1">
      <selection activeCell="E7" sqref="E7"/>
    </sheetView>
  </sheetViews>
  <sheetFormatPr defaultColWidth="9.00390625" defaultRowHeight="12.75"/>
  <cols>
    <col min="1" max="1" width="2.50390625" style="0" customWidth="1"/>
    <col min="2" max="2" width="5.625" style="0" customWidth="1"/>
    <col min="3" max="3" width="34.50390625" style="0" customWidth="1"/>
    <col min="4" max="4" width="7.375" style="0" customWidth="1"/>
    <col min="5" max="5" width="13.875" style="0" customWidth="1"/>
  </cols>
  <sheetData>
    <row r="1" spans="2:5" ht="12.75">
      <c r="B1" s="277" t="s">
        <v>223</v>
      </c>
      <c r="C1" s="278"/>
      <c r="D1" s="278"/>
      <c r="E1" s="278"/>
    </row>
    <row r="2" ht="12.75">
      <c r="C2" t="s">
        <v>224</v>
      </c>
    </row>
    <row r="3" spans="2:5" ht="25.5" customHeight="1">
      <c r="B3" s="27" t="s">
        <v>3</v>
      </c>
      <c r="C3" s="54" t="s">
        <v>84</v>
      </c>
      <c r="D3" s="108" t="s">
        <v>57</v>
      </c>
      <c r="E3" s="56" t="s">
        <v>87</v>
      </c>
    </row>
    <row r="4" spans="2:5" ht="13.5">
      <c r="B4" s="55">
        <v>1</v>
      </c>
      <c r="C4" s="59" t="str">
        <f>Расчет!B4</f>
        <v>Яйцо (1 сорт)</v>
      </c>
      <c r="D4" s="55" t="s">
        <v>48</v>
      </c>
      <c r="E4" s="57">
        <f>Расчет!M4</f>
        <v>20</v>
      </c>
    </row>
    <row r="5" spans="2:5" ht="27">
      <c r="B5" s="55">
        <v>2</v>
      </c>
      <c r="C5" s="59" t="str">
        <f>Расчет!B5</f>
        <v>Мясо говядины (1 категории), без кости</v>
      </c>
      <c r="D5" s="55" t="s">
        <v>44</v>
      </c>
      <c r="E5" s="57">
        <f>Расчет!M5</f>
        <v>1.4</v>
      </c>
    </row>
    <row r="6" spans="2:5" ht="13.5">
      <c r="B6" s="55">
        <v>3</v>
      </c>
      <c r="C6" s="59" t="str">
        <f>Расчет!B6</f>
        <v>Мясо птицы (1 категории)</v>
      </c>
      <c r="D6" s="55" t="s">
        <v>44</v>
      </c>
      <c r="E6" s="57">
        <f>Расчет!M6</f>
        <v>3</v>
      </c>
    </row>
    <row r="7" spans="2:5" ht="13.5">
      <c r="B7" s="55">
        <v>4</v>
      </c>
      <c r="C7" s="59" t="str">
        <f>Расчет!B7</f>
        <v>Сосиски говяжьи (высший сорт)</v>
      </c>
      <c r="D7" s="55" t="s">
        <v>44</v>
      </c>
      <c r="E7" s="57">
        <f>Расчет!M7</f>
        <v>0.9</v>
      </c>
    </row>
    <row r="8" spans="2:5" ht="27">
      <c r="B8" s="55">
        <v>5</v>
      </c>
      <c r="C8" s="59" t="str">
        <f>Расчет!B8</f>
        <v>Колбасы вареные для детского питания в/с</v>
      </c>
      <c r="D8" s="55" t="s">
        <v>44</v>
      </c>
      <c r="E8" s="57">
        <f>Расчет!M8</f>
        <v>0</v>
      </c>
    </row>
    <row r="9" spans="2:5" ht="13.5">
      <c r="B9" s="55">
        <v>6</v>
      </c>
      <c r="C9" s="59" t="str">
        <f>Расчет!B9</f>
        <v>Молоко пастеризованное (2,5%)</v>
      </c>
      <c r="D9" s="55" t="s">
        <v>45</v>
      </c>
      <c r="E9" s="57">
        <f>Расчет!M9</f>
        <v>10</v>
      </c>
    </row>
    <row r="10" spans="2:5" ht="13.5">
      <c r="B10" s="55">
        <v>7</v>
      </c>
      <c r="C10" s="59" t="str">
        <f>Расчет!B10</f>
        <v>Масло сливочное (72,5%)</v>
      </c>
      <c r="D10" s="55" t="s">
        <v>44</v>
      </c>
      <c r="E10" s="57">
        <f>Расчет!M10</f>
        <v>1</v>
      </c>
    </row>
    <row r="11" spans="2:5" ht="13.5">
      <c r="B11" s="55">
        <v>8</v>
      </c>
      <c r="C11" s="59" t="str">
        <f>Расчет!B11</f>
        <v>Сметана (15%)</v>
      </c>
      <c r="D11" s="55" t="s">
        <v>44</v>
      </c>
      <c r="E11" s="58">
        <f>Расчет!M11</f>
        <v>3</v>
      </c>
    </row>
    <row r="12" spans="2:5" ht="13.5">
      <c r="B12" s="55">
        <v>9</v>
      </c>
      <c r="C12" s="59" t="str">
        <f>Расчет!B12</f>
        <v>Творог (5%)</v>
      </c>
      <c r="D12" s="55" t="s">
        <v>45</v>
      </c>
      <c r="E12" s="58">
        <f>Расчет!M12</f>
        <v>1</v>
      </c>
    </row>
    <row r="13" spans="2:5" ht="13.5">
      <c r="B13" s="55">
        <v>10</v>
      </c>
      <c r="C13" s="59" t="str">
        <f>Расчет!B13</f>
        <v>Сыр твердый (45%)</v>
      </c>
      <c r="D13" s="55" t="s">
        <v>44</v>
      </c>
      <c r="E13" s="58">
        <f>Расчет!M13</f>
        <v>0</v>
      </c>
    </row>
    <row r="14" spans="2:5" ht="27">
      <c r="B14" s="55">
        <v>11</v>
      </c>
      <c r="C14" s="59" t="str">
        <f>Расчет!B14</f>
        <v>Молоко сгущенное цельное с сахаром (8,5%)</v>
      </c>
      <c r="D14" s="55" t="s">
        <v>44</v>
      </c>
      <c r="E14" s="57">
        <f>Расчет!M14</f>
        <v>0</v>
      </c>
    </row>
    <row r="15" spans="2:5" ht="13.5">
      <c r="B15" s="55">
        <v>12</v>
      </c>
      <c r="C15" s="59" t="str">
        <f>Расчет!B15</f>
        <v>Картофель (1 сорт)</v>
      </c>
      <c r="D15" s="55" t="s">
        <v>44</v>
      </c>
      <c r="E15" s="57">
        <f>Расчет!M15</f>
        <v>17</v>
      </c>
    </row>
    <row r="16" spans="2:5" ht="13.5">
      <c r="B16" s="55">
        <v>13</v>
      </c>
      <c r="C16" s="59" t="str">
        <f>Расчет!B16</f>
        <v>Капуста белокачанная (1 сорт)</v>
      </c>
      <c r="D16" s="55" t="s">
        <v>44</v>
      </c>
      <c r="E16" s="57">
        <f>Расчет!M16</f>
        <v>0.4</v>
      </c>
    </row>
    <row r="17" spans="2:5" ht="13.5">
      <c r="B17" s="55">
        <v>14</v>
      </c>
      <c r="C17" s="59" t="str">
        <f>Расчет!B17</f>
        <v>Лук репчатый (1 сорт)</v>
      </c>
      <c r="D17" s="55" t="s">
        <v>44</v>
      </c>
      <c r="E17" s="57">
        <f>Расчет!M17</f>
        <v>5</v>
      </c>
    </row>
    <row r="18" spans="2:5" ht="13.5">
      <c r="B18" s="55">
        <v>15</v>
      </c>
      <c r="C18" s="59" t="str">
        <f>Расчет!B18</f>
        <v>Морковь (1 сорт)</v>
      </c>
      <c r="D18" s="55" t="s">
        <v>44</v>
      </c>
      <c r="E18" s="57">
        <f>Расчет!M18</f>
        <v>1</v>
      </c>
    </row>
    <row r="19" spans="2:5" ht="13.5">
      <c r="B19" s="55">
        <v>16</v>
      </c>
      <c r="C19" s="59" t="str">
        <f>Расчет!B19</f>
        <v>Свекла (1 сорт)</v>
      </c>
      <c r="D19" s="55" t="s">
        <v>44</v>
      </c>
      <c r="E19" s="57">
        <f>Расчет!M19</f>
        <v>1.3</v>
      </c>
    </row>
    <row r="20" spans="2:5" ht="27">
      <c r="B20" s="55">
        <v>17</v>
      </c>
      <c r="C20" s="59" t="str">
        <f>Расчет!B20</f>
        <v>Огурцы консервированные без уксуса (1с)</v>
      </c>
      <c r="D20" s="55" t="s">
        <v>44</v>
      </c>
      <c r="E20" s="57">
        <f>Расчет!M20</f>
        <v>6</v>
      </c>
    </row>
    <row r="21" spans="2:5" ht="13.5">
      <c r="B21" s="55">
        <v>18</v>
      </c>
      <c r="C21" s="59" t="str">
        <f>Расчет!B21</f>
        <v>Икра кабачковая для дет. питания</v>
      </c>
      <c r="D21" s="55" t="s">
        <v>44</v>
      </c>
      <c r="E21" s="57">
        <f>Расчет!M21</f>
        <v>0</v>
      </c>
    </row>
    <row r="22" spans="2:5" ht="13.5">
      <c r="B22" s="55">
        <v>19</v>
      </c>
      <c r="C22" s="59" t="str">
        <f>Расчет!B22</f>
        <v>Горошек зеленый (сорт салатный)</v>
      </c>
      <c r="D22" s="55" t="s">
        <v>44</v>
      </c>
      <c r="E22" s="57">
        <f>Расчет!M22</f>
        <v>3.14</v>
      </c>
    </row>
    <row r="23" spans="2:5" ht="27">
      <c r="B23" s="55">
        <v>20</v>
      </c>
      <c r="C23" s="59" t="str">
        <f>Расчет!B23</f>
        <v>Томатная паста с содержанием с/в (25-30%)</v>
      </c>
      <c r="D23" s="55" t="s">
        <v>44</v>
      </c>
      <c r="E23" s="57">
        <f>Расчет!M23</f>
        <v>1</v>
      </c>
    </row>
    <row r="24" spans="2:5" ht="13.5">
      <c r="B24" s="55">
        <v>21</v>
      </c>
      <c r="C24" s="59" t="str">
        <f>Расчет!B24</f>
        <v>Яблоки свежие (1 сорт)</v>
      </c>
      <c r="D24" s="55" t="s">
        <v>44</v>
      </c>
      <c r="E24" s="57">
        <f>Расчет!M24</f>
        <v>3</v>
      </c>
    </row>
    <row r="25" spans="2:5" ht="13.5">
      <c r="B25" s="55">
        <v>22</v>
      </c>
      <c r="C25" s="59" t="str">
        <f>Расчет!B25</f>
        <v>Бананы свежие (1 сорт)</v>
      </c>
      <c r="D25" s="55" t="s">
        <v>44</v>
      </c>
      <c r="E25" s="57">
        <f>Расчет!M25</f>
        <v>3</v>
      </c>
    </row>
    <row r="26" spans="2:5" ht="13.5">
      <c r="B26" s="55">
        <v>23</v>
      </c>
      <c r="C26" s="59" t="str">
        <f>Расчет!B26</f>
        <v>Сухофрукты ассорти</v>
      </c>
      <c r="D26" s="55" t="s">
        <v>44</v>
      </c>
      <c r="E26" s="57">
        <f>Расчет!M26</f>
        <v>0.4</v>
      </c>
    </row>
    <row r="27" spans="2:5" ht="13.5">
      <c r="B27" s="55">
        <v>24</v>
      </c>
      <c r="C27" s="59" t="str">
        <f>Расчет!B27</f>
        <v>Изюм</v>
      </c>
      <c r="D27" s="55" t="s">
        <v>44</v>
      </c>
      <c r="E27" s="57">
        <f>Расчет!M27</f>
        <v>0</v>
      </c>
    </row>
    <row r="28" spans="2:5" ht="13.5">
      <c r="B28" s="55">
        <v>25</v>
      </c>
      <c r="C28" s="59" t="str">
        <f>Расчет!B28</f>
        <v>Повидло фруктовое (1 сорт)</v>
      </c>
      <c r="D28" s="55" t="s">
        <v>44</v>
      </c>
      <c r="E28" s="57">
        <f>Расчет!M28</f>
        <v>0</v>
      </c>
    </row>
    <row r="29" spans="2:5" ht="13.5">
      <c r="B29" s="55">
        <v>26</v>
      </c>
      <c r="C29" s="59" t="str">
        <f>Расчет!B29</f>
        <v>Сок фруктовый (1 литр)</v>
      </c>
      <c r="D29" s="55" t="s">
        <v>45</v>
      </c>
      <c r="E29" s="57">
        <f>Расчет!M29</f>
        <v>2</v>
      </c>
    </row>
    <row r="30" spans="2:5" ht="15" customHeight="1">
      <c r="B30" s="55">
        <v>27</v>
      </c>
      <c r="C30" s="59" t="str">
        <f>Расчет!B30</f>
        <v>Масло растительное, рафинированное</v>
      </c>
      <c r="D30" s="55" t="s">
        <v>44</v>
      </c>
      <c r="E30" s="57">
        <f>Расчет!M30</f>
        <v>0.8</v>
      </c>
    </row>
    <row r="31" spans="2:5" ht="13.5">
      <c r="B31" s="55">
        <v>28</v>
      </c>
      <c r="C31" s="59" t="str">
        <f>Расчет!B31</f>
        <v>Рыба с/м (1 сорт)</v>
      </c>
      <c r="D31" s="55" t="s">
        <v>44</v>
      </c>
      <c r="E31" s="57">
        <f>Расчет!M31</f>
        <v>9</v>
      </c>
    </row>
    <row r="32" spans="2:5" ht="13.5">
      <c r="B32" s="55">
        <v>29</v>
      </c>
      <c r="C32" s="59">
        <f>Расчет!B32</f>
        <v>0</v>
      </c>
      <c r="D32" s="55" t="s">
        <v>44</v>
      </c>
      <c r="E32" s="57">
        <f>Расчет!M32</f>
        <v>0</v>
      </c>
    </row>
    <row r="33" spans="2:5" ht="27">
      <c r="B33" s="55">
        <v>30</v>
      </c>
      <c r="C33" s="59" t="str">
        <f>Расчет!B33</f>
        <v>Мука пшеничная (высший сорт), в инд. уп.</v>
      </c>
      <c r="D33" s="55" t="s">
        <v>44</v>
      </c>
      <c r="E33" s="57">
        <f>Расчет!M33</f>
        <v>2</v>
      </c>
    </row>
    <row r="34" spans="2:5" ht="13.5">
      <c r="B34" s="55">
        <v>31</v>
      </c>
      <c r="C34" s="59" t="str">
        <f>Расчет!B34</f>
        <v>Крупа гречневая, в инд. уп.</v>
      </c>
      <c r="D34" s="55" t="s">
        <v>44</v>
      </c>
      <c r="E34" s="57">
        <f>Расчет!M34</f>
        <v>1</v>
      </c>
    </row>
    <row r="35" spans="2:5" ht="13.5">
      <c r="B35" s="55">
        <v>32</v>
      </c>
      <c r="C35" s="59" t="str">
        <f>Расчет!B35</f>
        <v>Крупа манная (1 сорт), в инд. уп.</v>
      </c>
      <c r="D35" s="55" t="s">
        <v>45</v>
      </c>
      <c r="E35" s="57">
        <f>Расчет!M35</f>
        <v>0.4</v>
      </c>
    </row>
    <row r="36" spans="2:5" ht="16.5" customHeight="1">
      <c r="B36" s="55">
        <v>33</v>
      </c>
      <c r="C36" s="59" t="str">
        <f>Расчет!B36</f>
        <v>Рис (1 сорт), в инд. уп.</v>
      </c>
      <c r="D36" s="55" t="s">
        <v>44</v>
      </c>
      <c r="E36" s="57">
        <f>Расчет!M36</f>
        <v>2</v>
      </c>
    </row>
    <row r="37" spans="2:5" ht="16.5" customHeight="1">
      <c r="B37" s="55">
        <v>34</v>
      </c>
      <c r="C37" s="59" t="str">
        <f>Расчет!B37</f>
        <v>Крупа пшеничная (1 сорт), в инд. уп.</v>
      </c>
      <c r="D37" s="55" t="s">
        <v>44</v>
      </c>
      <c r="E37" s="57">
        <f>Расчет!M37</f>
        <v>0</v>
      </c>
    </row>
    <row r="38" spans="2:5" ht="13.5">
      <c r="B38" s="55">
        <v>35</v>
      </c>
      <c r="C38" s="59" t="str">
        <f>Расчет!B38</f>
        <v>Пшено (1 сорт), в инд. уп.</v>
      </c>
      <c r="D38" s="55" t="s">
        <v>44</v>
      </c>
      <c r="E38" s="57">
        <f>Расчет!M38</f>
        <v>0.7</v>
      </c>
    </row>
    <row r="39" spans="2:5" ht="13.5">
      <c r="B39" s="55">
        <v>36</v>
      </c>
      <c r="C39" s="59" t="str">
        <f>Расчет!B39</f>
        <v>Горох шлифованный, в инд. уп.</v>
      </c>
      <c r="D39" s="55" t="s">
        <v>44</v>
      </c>
      <c r="E39" s="57">
        <f>Расчет!M39</f>
        <v>0.7</v>
      </c>
    </row>
    <row r="40" spans="2:5" ht="13.5">
      <c r="B40" s="55">
        <v>37</v>
      </c>
      <c r="C40" s="59" t="str">
        <f>Расчет!B40</f>
        <v>Крупа перловая, в инд. уп.</v>
      </c>
      <c r="D40" s="55" t="s">
        <v>44</v>
      </c>
      <c r="E40" s="57">
        <f>Расчет!M40</f>
        <v>0</v>
      </c>
    </row>
    <row r="41" spans="2:5" ht="13.5">
      <c r="B41" s="55">
        <v>38</v>
      </c>
      <c r="C41" s="59" t="str">
        <f>Расчет!B41</f>
        <v>Крупа ячневая, в инд. уп.</v>
      </c>
      <c r="D41" s="55" t="s">
        <v>44</v>
      </c>
      <c r="E41" s="57">
        <f>Расчет!M41</f>
        <v>0</v>
      </c>
    </row>
    <row r="42" spans="2:5" ht="13.5">
      <c r="B42" s="55">
        <v>39</v>
      </c>
      <c r="C42" s="59" t="str">
        <f>Расчет!B42</f>
        <v>Хлопья "Геркулес", в инд. уп.</v>
      </c>
      <c r="D42" s="55" t="s">
        <v>44</v>
      </c>
      <c r="E42" s="57">
        <f>Расчет!M42</f>
        <v>0</v>
      </c>
    </row>
    <row r="43" spans="2:5" ht="13.5">
      <c r="B43" s="55">
        <v>40</v>
      </c>
      <c r="C43" s="59" t="str">
        <f>Расчет!B43</f>
        <v>Сахар-песок, в инд. уп.</v>
      </c>
      <c r="D43" s="55" t="s">
        <v>44</v>
      </c>
      <c r="E43" s="57">
        <f>Расчет!M43</f>
        <v>4</v>
      </c>
    </row>
    <row r="44" spans="2:5" ht="13.5">
      <c r="B44" s="55">
        <v>41</v>
      </c>
      <c r="C44" s="59" t="str">
        <f>Расчет!B44</f>
        <v>Макароны (высший сорт), в инд. уп.</v>
      </c>
      <c r="D44" s="55" t="s">
        <v>44</v>
      </c>
      <c r="E44" s="57">
        <f>Расчет!M44</f>
        <v>1</v>
      </c>
    </row>
    <row r="45" spans="2:5" ht="16.5" customHeight="1">
      <c r="B45" s="55">
        <v>42</v>
      </c>
      <c r="C45" s="59" t="str">
        <f>Расчет!B45</f>
        <v>Вермишель (высший сорт), в инд. уп.</v>
      </c>
      <c r="D45" s="55" t="s">
        <v>44</v>
      </c>
      <c r="E45" s="57">
        <f>Расчет!M45</f>
        <v>2</v>
      </c>
    </row>
    <row r="46" spans="2:5" ht="13.5">
      <c r="B46" s="55">
        <v>43</v>
      </c>
      <c r="C46" s="59" t="str">
        <f>Расчет!B46</f>
        <v>Дрожжи сухие</v>
      </c>
      <c r="D46" s="55" t="s">
        <v>44</v>
      </c>
      <c r="E46" s="57">
        <f>Расчет!M46</f>
        <v>0</v>
      </c>
    </row>
    <row r="47" spans="2:5" ht="13.5">
      <c r="B47" s="55">
        <v>44</v>
      </c>
      <c r="C47" s="59" t="str">
        <f>Расчет!B47</f>
        <v>Соль йодированная</v>
      </c>
      <c r="D47" s="55" t="s">
        <v>44</v>
      </c>
      <c r="E47" s="57">
        <f>Расчет!M47</f>
        <v>0</v>
      </c>
    </row>
    <row r="48" spans="2:5" ht="13.5">
      <c r="B48" s="55">
        <v>45</v>
      </c>
      <c r="C48" s="59" t="str">
        <f>Расчет!B48</f>
        <v>Кисель фруктовый (концентрат)</v>
      </c>
      <c r="D48" s="55" t="s">
        <v>44</v>
      </c>
      <c r="E48" s="57">
        <f>Расчет!M48</f>
        <v>0</v>
      </c>
    </row>
    <row r="49" spans="2:5" ht="13.5">
      <c r="B49" s="55">
        <v>46</v>
      </c>
      <c r="C49" s="59" t="str">
        <f>Расчет!B49</f>
        <v>Кофейный напиток (ячменный)</v>
      </c>
      <c r="D49" s="55" t="s">
        <v>44</v>
      </c>
      <c r="E49" s="57">
        <f>Расчет!M49</f>
        <v>0</v>
      </c>
    </row>
    <row r="50" spans="2:5" ht="13.5">
      <c r="B50" s="55">
        <v>47</v>
      </c>
      <c r="C50" s="59" t="str">
        <f>Расчет!B50</f>
        <v>Какао порошок</v>
      </c>
      <c r="D50" s="55" t="s">
        <v>44</v>
      </c>
      <c r="E50" s="57">
        <f>Расчет!M50</f>
        <v>0.4</v>
      </c>
    </row>
    <row r="51" spans="2:5" ht="13.5">
      <c r="B51" s="55">
        <v>48</v>
      </c>
      <c r="C51" s="59" t="str">
        <f>Расчет!B51</f>
        <v>Чай черный (1 сорт)</v>
      </c>
      <c r="D51" s="55" t="s">
        <v>44</v>
      </c>
      <c r="E51" s="57">
        <f>Расчет!M51</f>
        <v>0</v>
      </c>
    </row>
    <row r="52" spans="2:15" ht="13.5">
      <c r="B52" s="55">
        <v>49</v>
      </c>
      <c r="C52" s="59" t="str">
        <f>Расчет!B52</f>
        <v>Лавровый лист</v>
      </c>
      <c r="D52" s="55" t="s">
        <v>44</v>
      </c>
      <c r="E52" s="57">
        <f>Расчет!M52</f>
        <v>0</v>
      </c>
      <c r="O52" s="62"/>
    </row>
    <row r="53" spans="2:5" ht="13.5">
      <c r="B53" s="55">
        <v>50</v>
      </c>
      <c r="C53" s="59" t="str">
        <f>Расчет!B53</f>
        <v>Хлеб "Городской новый"</v>
      </c>
      <c r="D53" s="55" t="s">
        <v>44</v>
      </c>
      <c r="E53" s="57">
        <f>Расчет!M53</f>
        <v>0</v>
      </c>
    </row>
    <row r="54" spans="2:5" ht="13.5">
      <c r="B54" s="55">
        <v>51</v>
      </c>
      <c r="C54" s="59">
        <f>Расчет!B54</f>
        <v>0</v>
      </c>
      <c r="D54" s="55" t="s">
        <v>44</v>
      </c>
      <c r="E54" s="57">
        <f>Расчет!M54</f>
        <v>0</v>
      </c>
    </row>
    <row r="55" spans="2:5" ht="13.5">
      <c r="B55" s="55">
        <v>52</v>
      </c>
      <c r="C55" s="59" t="str">
        <f>Расчет!B55</f>
        <v>Печенье в ассортименте</v>
      </c>
      <c r="D55" s="55" t="s">
        <v>44</v>
      </c>
      <c r="E55" s="57">
        <f>Расчет!M55</f>
        <v>0</v>
      </c>
    </row>
    <row r="56" spans="2:5" ht="13.5">
      <c r="B56" s="55">
        <v>53</v>
      </c>
      <c r="C56" s="59">
        <f>Расчет!B56</f>
        <v>0</v>
      </c>
      <c r="D56" s="55" t="s">
        <v>44</v>
      </c>
      <c r="E56" s="57">
        <f>Расчет!M56</f>
        <v>0</v>
      </c>
    </row>
    <row r="57" spans="2:5" ht="13.5">
      <c r="B57" s="55">
        <v>54</v>
      </c>
      <c r="C57" s="59" t="str">
        <f>Расчет!B57</f>
        <v>Пряник </v>
      </c>
      <c r="D57" s="55" t="s">
        <v>44</v>
      </c>
      <c r="E57" s="57">
        <f>Расчет!M57</f>
        <v>0</v>
      </c>
    </row>
    <row r="58" ht="12.75">
      <c r="C58" s="61"/>
    </row>
    <row r="59" ht="12.75">
      <c r="B59" t="s">
        <v>100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2022-09-19T12:20:21Z</cp:lastPrinted>
  <dcterms:created xsi:type="dcterms:W3CDTF">2008-09-10T13:23:40Z</dcterms:created>
  <dcterms:modified xsi:type="dcterms:W3CDTF">2022-09-19T12:20:25Z</dcterms:modified>
  <cp:category/>
  <cp:version/>
  <cp:contentType/>
  <cp:contentStatus/>
</cp:coreProperties>
</file>